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bookViews>
    <workbookView xWindow="0" yWindow="0" windowWidth="17280" windowHeight="9195"/>
  </bookViews>
  <sheets>
    <sheet name="AB.MAX, AB.DARAB" sheetId="7" r:id="rId1"/>
    <sheet name="AB.DARAB2, AB.SZUM" sheetId="9" r:id="rId2"/>
    <sheet name="AB.ÁTLAG, AB.MEZŐ" sheetId="8" r:id="rId3"/>
  </sheets>
  <definedNames>
    <definedName name="_xlnm._FilterDatabase" localSheetId="2" hidden="1">'AB.ÁTLAG, AB.MEZŐ'!$A$1:$F$1881</definedName>
    <definedName name="_xlnm._FilterDatabase" localSheetId="1" hidden="1">'AB.DARAB2, AB.SZUM'!$A$1:$G$501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8" l="1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G85" i="9" l="1"/>
  <c r="G258" i="9"/>
  <c r="G193" i="9"/>
  <c r="G47" i="9"/>
  <c r="G22" i="9"/>
  <c r="G198" i="9"/>
  <c r="G237" i="9"/>
  <c r="G61" i="9"/>
  <c r="G184" i="9"/>
  <c r="G164" i="9"/>
  <c r="G196" i="9"/>
  <c r="G453" i="9"/>
  <c r="G401" i="9"/>
  <c r="G59" i="9"/>
  <c r="G323" i="9"/>
  <c r="G120" i="9"/>
  <c r="G206" i="9"/>
  <c r="G371" i="9"/>
  <c r="G214" i="9"/>
  <c r="G5" i="9"/>
  <c r="G23" i="9"/>
  <c r="G452" i="9"/>
  <c r="G21" i="9"/>
  <c r="G346" i="9"/>
  <c r="G350" i="9"/>
  <c r="G112" i="9"/>
  <c r="G224" i="9"/>
  <c r="G343" i="9"/>
  <c r="G86" i="9"/>
  <c r="G175" i="9"/>
  <c r="G254" i="9"/>
  <c r="G71" i="9"/>
  <c r="G92" i="9"/>
  <c r="G110" i="9"/>
  <c r="G357" i="9"/>
  <c r="G124" i="9"/>
  <c r="G263" i="9"/>
  <c r="G189" i="9"/>
  <c r="G472" i="9"/>
  <c r="G11" i="9"/>
  <c r="G20" i="9"/>
  <c r="G52" i="9"/>
  <c r="G313" i="9"/>
  <c r="G412" i="9"/>
  <c r="G218" i="9"/>
  <c r="G160" i="9"/>
  <c r="G424" i="9"/>
  <c r="G141" i="9"/>
  <c r="G320" i="9"/>
  <c r="G130" i="9"/>
  <c r="G3" i="9"/>
  <c r="G275" i="9"/>
  <c r="G227" i="9"/>
  <c r="G363" i="9"/>
  <c r="G304" i="9"/>
  <c r="G17" i="9"/>
  <c r="G98" i="9"/>
  <c r="G312" i="9"/>
  <c r="G265" i="9"/>
  <c r="G90" i="9"/>
  <c r="G297" i="9"/>
  <c r="G376" i="9"/>
  <c r="G471" i="9"/>
  <c r="G9" i="9"/>
  <c r="G99" i="9"/>
  <c r="G280" i="9"/>
  <c r="G468" i="9"/>
  <c r="G329" i="9"/>
  <c r="G348" i="9"/>
  <c r="G166" i="9"/>
  <c r="G410" i="9"/>
  <c r="G324" i="9"/>
  <c r="G428" i="9"/>
  <c r="G407" i="9"/>
  <c r="G156" i="9"/>
  <c r="G212" i="9"/>
  <c r="G270" i="9"/>
  <c r="G305" i="9"/>
  <c r="G314" i="9"/>
  <c r="G97" i="9"/>
  <c r="G406" i="9"/>
  <c r="G462" i="9"/>
  <c r="G423" i="9"/>
  <c r="G116" i="9"/>
  <c r="G26" i="9"/>
  <c r="G490" i="9"/>
  <c r="G60" i="9"/>
  <c r="G64" i="9"/>
  <c r="G171" i="9"/>
  <c r="G232" i="9"/>
  <c r="G228" i="9"/>
  <c r="G147" i="9"/>
  <c r="G127" i="9"/>
  <c r="G395" i="9"/>
  <c r="G108" i="9"/>
  <c r="G495" i="9"/>
  <c r="G181" i="9"/>
  <c r="G256" i="9"/>
  <c r="G267" i="9"/>
  <c r="G465" i="9"/>
  <c r="G30" i="9"/>
  <c r="G411" i="9"/>
  <c r="G200" i="9"/>
  <c r="G338" i="9"/>
  <c r="G387" i="9"/>
  <c r="G111" i="9"/>
  <c r="G384" i="9"/>
  <c r="G236" i="9"/>
  <c r="G366" i="9"/>
  <c r="G446" i="9"/>
  <c r="G19" i="9"/>
  <c r="G291" i="9"/>
  <c r="G246" i="9"/>
  <c r="G221" i="9"/>
  <c r="G53" i="9"/>
  <c r="G370" i="9"/>
  <c r="G174" i="9"/>
  <c r="G165" i="9"/>
  <c r="G217" i="9"/>
  <c r="G368" i="9"/>
  <c r="G478" i="9"/>
  <c r="G483" i="9"/>
  <c r="G279" i="9"/>
  <c r="G66" i="9"/>
  <c r="G187" i="9"/>
  <c r="G77" i="9"/>
  <c r="G10" i="9"/>
  <c r="G464" i="9"/>
  <c r="G457" i="9"/>
  <c r="G132" i="9"/>
  <c r="G51" i="9"/>
  <c r="G268" i="9"/>
  <c r="G142" i="9"/>
  <c r="G437" i="9"/>
  <c r="G201" i="9"/>
  <c r="G439" i="9"/>
  <c r="G477" i="9"/>
  <c r="G161" i="9"/>
  <c r="G179" i="9"/>
  <c r="G195" i="9"/>
  <c r="G43" i="9"/>
  <c r="G373" i="9"/>
  <c r="G223" i="9"/>
  <c r="G222" i="9"/>
  <c r="G152" i="9"/>
  <c r="G121" i="9"/>
  <c r="G470" i="9"/>
  <c r="G48" i="9"/>
  <c r="G330" i="9"/>
  <c r="G45" i="9"/>
  <c r="G272" i="9"/>
  <c r="G367" i="9"/>
  <c r="G432" i="9"/>
  <c r="G435" i="9"/>
  <c r="G278" i="9"/>
  <c r="G255" i="9"/>
  <c r="G336" i="9"/>
  <c r="G253" i="9"/>
  <c r="G249" i="9"/>
  <c r="G341" i="9"/>
  <c r="G364" i="9"/>
  <c r="G41" i="9"/>
  <c r="G74" i="9"/>
  <c r="G40" i="9"/>
  <c r="G422" i="9"/>
  <c r="G125" i="9"/>
  <c r="G274" i="9"/>
  <c r="G321" i="9"/>
  <c r="G169" i="9"/>
  <c r="G157" i="9"/>
  <c r="G448" i="9"/>
  <c r="G455" i="9"/>
  <c r="G208" i="9"/>
  <c r="G319" i="9"/>
  <c r="G220" i="9"/>
  <c r="G178" i="9"/>
  <c r="G414" i="9"/>
  <c r="G383" i="9"/>
  <c r="G176" i="9"/>
  <c r="G299" i="9"/>
  <c r="G405" i="9"/>
  <c r="G345" i="9"/>
  <c r="G243" i="9"/>
  <c r="G96" i="9"/>
  <c r="G24" i="9"/>
  <c r="G162" i="9"/>
  <c r="G240" i="9"/>
  <c r="G399" i="9"/>
  <c r="G385" i="9"/>
  <c r="G122" i="9"/>
  <c r="G144" i="9"/>
  <c r="G416" i="9"/>
  <c r="G58" i="9"/>
  <c r="G84" i="9"/>
  <c r="G394" i="9"/>
  <c r="G83" i="9"/>
  <c r="G54" i="9"/>
  <c r="G140" i="9"/>
  <c r="G388" i="9"/>
  <c r="G501" i="9"/>
</calcChain>
</file>

<file path=xl/sharedStrings.xml><?xml version="1.0" encoding="utf-8"?>
<sst xmlns="http://schemas.openxmlformats.org/spreadsheetml/2006/main" count="15265" uniqueCount="3590">
  <si>
    <t>évfolyam</t>
  </si>
  <si>
    <t>osztály</t>
  </si>
  <si>
    <t>A</t>
  </si>
  <si>
    <t>B</t>
  </si>
  <si>
    <t>C</t>
  </si>
  <si>
    <t>D</t>
  </si>
  <si>
    <t>Szántó Nelli</t>
  </si>
  <si>
    <t>Rostás László</t>
  </si>
  <si>
    <t>Kuti Tamás</t>
  </si>
  <si>
    <t>Ritter Emese</t>
  </si>
  <si>
    <t>Rádai Hajna</t>
  </si>
  <si>
    <t>Kovács Menyhért</t>
  </si>
  <si>
    <t>Fehér Csenger</t>
  </si>
  <si>
    <t>Huszka Ignác</t>
  </si>
  <si>
    <t>Csáki Zsolt</t>
  </si>
  <si>
    <t>Répási Ágota</t>
  </si>
  <si>
    <t>Majoros Ármin</t>
  </si>
  <si>
    <t>Rácz Kinga</t>
  </si>
  <si>
    <t>Vörös Zsigmond</t>
  </si>
  <si>
    <t>Pelle Zsombor</t>
  </si>
  <si>
    <t>Hagymási Ilona</t>
  </si>
  <si>
    <t>Szirtes Árpád</t>
  </si>
  <si>
    <t>Szekeres Ambrus</t>
  </si>
  <si>
    <t>Pollák Konrád</t>
  </si>
  <si>
    <t>Nádasi Mária</t>
  </si>
  <si>
    <t>Regős Dénes</t>
  </si>
  <si>
    <t>Kőszegi Ibolya</t>
  </si>
  <si>
    <t>Serföző Ágota</t>
  </si>
  <si>
    <t>Petró Aladár</t>
  </si>
  <si>
    <t>Rajnai Árpád</t>
  </si>
  <si>
    <t>Zeke Helga</t>
  </si>
  <si>
    <t>Rudas Ervin</t>
  </si>
  <si>
    <t>Bódi Gál</t>
  </si>
  <si>
    <t>Udvardi Fábián</t>
  </si>
  <si>
    <t>Somoskövi Miléna</t>
  </si>
  <si>
    <t>Farkas Laura</t>
  </si>
  <si>
    <t>Gyimesi Mária</t>
  </si>
  <si>
    <t>Csergő Illés</t>
  </si>
  <si>
    <t>Burján Andrea</t>
  </si>
  <si>
    <t>Borbély Flóra</t>
  </si>
  <si>
    <t>Kádár Natália</t>
  </si>
  <si>
    <t>Csontos Violetta</t>
  </si>
  <si>
    <t>Szente Kristóf</t>
  </si>
  <si>
    <t>Király Borisz</t>
  </si>
  <si>
    <t>Ember Árpád</t>
  </si>
  <si>
    <t>Diószegi Lukács</t>
  </si>
  <si>
    <t>Bartos Ivó</t>
  </si>
  <si>
    <t>Sós Patrícia</t>
  </si>
  <si>
    <t>Buzsáki Szilárd</t>
  </si>
  <si>
    <t>Somoskövi Szidónia</t>
  </si>
  <si>
    <t>Valkó Ervin</t>
  </si>
  <si>
    <t>Réti Liliána</t>
  </si>
  <si>
    <t>Veress Vanda</t>
  </si>
  <si>
    <t>Gazsó Irén</t>
  </si>
  <si>
    <t>Szegedi Orsolya</t>
  </si>
  <si>
    <t>Bihari Andrea</t>
  </si>
  <si>
    <t>Pongó Fülöp</t>
  </si>
  <si>
    <t>Juhász Szilvia</t>
  </si>
  <si>
    <t>Rideg Hédi</t>
  </si>
  <si>
    <t>Havas Nóra</t>
  </si>
  <si>
    <t>Sáfrány Éva</t>
  </si>
  <si>
    <t>Laczkó Szaniszló</t>
  </si>
  <si>
    <t>Sziráki Barbara</t>
  </si>
  <si>
    <t>Csontos Adrienn</t>
  </si>
  <si>
    <t>Unger Virág</t>
  </si>
  <si>
    <t>Kamarás Irén</t>
  </si>
  <si>
    <t>Parádi Illés</t>
  </si>
  <si>
    <t>Engi Barnabás</t>
  </si>
  <si>
    <t>Csaplár Móricz</t>
  </si>
  <si>
    <t>Hegyi Vencel</t>
  </si>
  <si>
    <t>Keszthelyi Marietta</t>
  </si>
  <si>
    <t>Kondor István</t>
  </si>
  <si>
    <t>Keszthelyi Izsó</t>
  </si>
  <si>
    <t>Méhes Norbert</t>
  </si>
  <si>
    <t>Medve Gyula</t>
  </si>
  <si>
    <t>Béres Aladár</t>
  </si>
  <si>
    <t>Fazekas Izabella</t>
  </si>
  <si>
    <t>Adorján Viola</t>
  </si>
  <si>
    <t>Udvardi Anita</t>
  </si>
  <si>
    <t>Szente Mónika</t>
  </si>
  <si>
    <t>Pécsi Kriszta</t>
  </si>
  <si>
    <t>Rigó Ida</t>
  </si>
  <si>
    <t>Gál Edina</t>
  </si>
  <si>
    <t>Holló Valéria</t>
  </si>
  <si>
    <t>Mester Lénárd</t>
  </si>
  <si>
    <t>Kopácsi Renáta</t>
  </si>
  <si>
    <t>Benkő Pongrác</t>
  </si>
  <si>
    <t>Szeberényi Magdaléna</t>
  </si>
  <si>
    <t>Dózsa Kármen</t>
  </si>
  <si>
    <t>Vida Tamás</t>
  </si>
  <si>
    <t>Laczkó Melinda</t>
  </si>
  <si>
    <t>Nyári Donát</t>
  </si>
  <si>
    <t>Kosztolányi Hilda</t>
  </si>
  <si>
    <t>Nagy Ákos</t>
  </si>
  <si>
    <t>Soproni Salamon</t>
  </si>
  <si>
    <t>Egyed Edgár</t>
  </si>
  <si>
    <t>Rajnai Gitta</t>
  </si>
  <si>
    <t>Vári János</t>
  </si>
  <si>
    <t>Pados Vera</t>
  </si>
  <si>
    <t>Prohaszka Emőke</t>
  </si>
  <si>
    <t>Kátai Bertalan</t>
  </si>
  <si>
    <t>Nemes Tivadar</t>
  </si>
  <si>
    <t>Csontos Pongrác</t>
  </si>
  <si>
    <t>Kertész György</t>
  </si>
  <si>
    <t>Petrás Fábián</t>
  </si>
  <si>
    <t>Kerepesi Emil</t>
  </si>
  <si>
    <t>Perényi Levente</t>
  </si>
  <si>
    <t>Balla Tekla</t>
  </si>
  <si>
    <t>Sas Hermina</t>
  </si>
  <si>
    <t>Selényi Győző</t>
  </si>
  <si>
    <t>Horváth Vencel</t>
  </si>
  <si>
    <t>Toldi Hajna</t>
  </si>
  <si>
    <t>Sziráki Cecilia</t>
  </si>
  <si>
    <t>Perényi Hermina</t>
  </si>
  <si>
    <t>Dobai Heléna</t>
  </si>
  <si>
    <t>Szekeres Barbara</t>
  </si>
  <si>
    <t>Körmendi Emma</t>
  </si>
  <si>
    <t>Bognár Salamon</t>
  </si>
  <si>
    <t>Angyal Illés</t>
  </si>
  <si>
    <t>Martos Amanda</t>
  </si>
  <si>
    <t>Siklósi Emil</t>
  </si>
  <si>
    <t>Pallagi Veronika</t>
  </si>
  <si>
    <t>Petró Pongrác</t>
  </si>
  <si>
    <t>Buzsáki Boglárka</t>
  </si>
  <si>
    <t>Bódi Huba</t>
  </si>
  <si>
    <t>Huszár Ede</t>
  </si>
  <si>
    <t>Alföldi Albert</t>
  </si>
  <si>
    <t>Sápi Konrád</t>
  </si>
  <si>
    <t>Vörös Roland</t>
  </si>
  <si>
    <t>Csonka Magdaléna</t>
  </si>
  <si>
    <t>Koncz Linda</t>
  </si>
  <si>
    <t>Országh Károly</t>
  </si>
  <si>
    <t>Soltész Mónika</t>
  </si>
  <si>
    <t>Pintér Edina</t>
  </si>
  <si>
    <t>Lakos Edit</t>
  </si>
  <si>
    <t>Ujvári Tibor</t>
  </si>
  <si>
    <t>Iványi Dominika</t>
  </si>
  <si>
    <t>Pusztai Aladár</t>
  </si>
  <si>
    <t>Farkas Gitta</t>
  </si>
  <si>
    <t>Buzsáki Piroska</t>
  </si>
  <si>
    <t>Müller Tamás</t>
  </si>
  <si>
    <t>Roboz Boglárka</t>
  </si>
  <si>
    <t>Kenyeres Lídia</t>
  </si>
  <si>
    <t>Márkus Gerda</t>
  </si>
  <si>
    <t>Gerő Bíborka</t>
  </si>
  <si>
    <t>Havas Irén</t>
  </si>
  <si>
    <t>Kende Réka</t>
  </si>
  <si>
    <t>Koczka Róbert</t>
  </si>
  <si>
    <t>Egervári Ildikó</t>
  </si>
  <si>
    <t>Kormos Tamás</t>
  </si>
  <si>
    <t>Rádai Adrienn</t>
  </si>
  <si>
    <t>Fitos Gergely</t>
  </si>
  <si>
    <t>Szigetvári Ferenc</t>
  </si>
  <si>
    <t>Iványi Péter</t>
  </si>
  <si>
    <t>Ambrus Liza</t>
  </si>
  <si>
    <t>Éles Bódog</t>
  </si>
  <si>
    <t>Lendvai Bonifác</t>
  </si>
  <si>
    <t>Ráth Margit</t>
  </si>
  <si>
    <t>Berkes Ádám</t>
  </si>
  <si>
    <t>Szilágyi Kornél</t>
  </si>
  <si>
    <t>Dévényi Beáta</t>
  </si>
  <si>
    <t>Szőllősi Alíz</t>
  </si>
  <si>
    <t>Sáfrány Adrienn</t>
  </si>
  <si>
    <t>Szakács Ábrahám</t>
  </si>
  <si>
    <t>Egyed Rókus</t>
  </si>
  <si>
    <t>Szeberényi István</t>
  </si>
  <si>
    <t>Kósa Pálma</t>
  </si>
  <si>
    <t>Komáromi Hilda</t>
  </si>
  <si>
    <t>Bánki Áron</t>
  </si>
  <si>
    <t>Fellegi Ivó</t>
  </si>
  <si>
    <t>Ambrus Móricz</t>
  </si>
  <si>
    <t>Petró Patrícia</t>
  </si>
  <si>
    <t>Hajós Lujza</t>
  </si>
  <si>
    <t>Munkácsi Márkó</t>
  </si>
  <si>
    <t>Gémes Barnabás</t>
  </si>
  <si>
    <t>Mocsári Piroska</t>
  </si>
  <si>
    <t>Tárnok Irma</t>
  </si>
  <si>
    <t>Sallai Liliána</t>
  </si>
  <si>
    <t>Piller Aladár</t>
  </si>
  <si>
    <t>Koncz Réka</t>
  </si>
  <si>
    <t>Bertók Tivadar</t>
  </si>
  <si>
    <t>Nyári Zsófia</t>
  </si>
  <si>
    <t>Csergő Dénes</t>
  </si>
  <si>
    <t>Polgár Lujza</t>
  </si>
  <si>
    <t>Kökény Krisztina</t>
  </si>
  <si>
    <t>Somoskövi Olga</t>
  </si>
  <si>
    <t>Ócsai Aranka</t>
  </si>
  <si>
    <t>Ritter Bulcsú</t>
  </si>
  <si>
    <t>Karikás Ambrus</t>
  </si>
  <si>
    <t>Szatmári Orbán</t>
  </si>
  <si>
    <t>Pintér Roland</t>
  </si>
  <si>
    <t>Szente Cecilia</t>
  </si>
  <si>
    <t>Szappanos Gyula</t>
  </si>
  <si>
    <t>Rákosi Alfréd</t>
  </si>
  <si>
    <t>Hamar Antónia</t>
  </si>
  <si>
    <t>Boros Miléna</t>
  </si>
  <si>
    <t>Ötvös Györgyi</t>
  </si>
  <si>
    <t>Szekeres Ilona</t>
  </si>
  <si>
    <t>Somodi Hunor</t>
  </si>
  <si>
    <t>Radványi Jenő</t>
  </si>
  <si>
    <t>Stark Jolán</t>
  </si>
  <si>
    <t>Hornyák Áron</t>
  </si>
  <si>
    <t>Fábián Zsóka</t>
  </si>
  <si>
    <t>Gyarmati Simon</t>
  </si>
  <si>
    <t>Forgács Móricz</t>
  </si>
  <si>
    <t>Selényi Marietta</t>
  </si>
  <si>
    <t>Keszler Dezső</t>
  </si>
  <si>
    <t>Bihari Annamária</t>
  </si>
  <si>
    <t>Zágon Bulcsú</t>
  </si>
  <si>
    <t>Laczkó Klotild</t>
  </si>
  <si>
    <t>Sziráki Róza</t>
  </si>
  <si>
    <t>Forgács Kelemen</t>
  </si>
  <si>
    <t>Szűcs Márkó</t>
  </si>
  <si>
    <t>Fábián Galina</t>
  </si>
  <si>
    <t>Temesi Alfréd</t>
  </si>
  <si>
    <t>Mocsári Fülöp</t>
  </si>
  <si>
    <t>Gulyás Edvin</t>
  </si>
  <si>
    <t>Vitéz Judit</t>
  </si>
  <si>
    <t>Gáti Barnabás</t>
  </si>
  <si>
    <t>Földes Tivadar</t>
  </si>
  <si>
    <t>Rédei Kármen</t>
  </si>
  <si>
    <t>Győri Ernő</t>
  </si>
  <si>
    <t>Pajor Vera</t>
  </si>
  <si>
    <t>Sötér Gál</t>
  </si>
  <si>
    <t>Kőszegi Tamás</t>
  </si>
  <si>
    <t>Rajnai Soma</t>
  </si>
  <si>
    <t>Kárpáti Roland</t>
  </si>
  <si>
    <t>Pénzes Gáspár</t>
  </si>
  <si>
    <t>Orosz Orbán</t>
  </si>
  <si>
    <t>Szalai Sára</t>
  </si>
  <si>
    <t>Pálfi Szilveszter</t>
  </si>
  <si>
    <t>Gémes Mária</t>
  </si>
  <si>
    <t>Keszler Galina</t>
  </si>
  <si>
    <t>Mikó Dóra</t>
  </si>
  <si>
    <t>Eszes Ambrus</t>
  </si>
  <si>
    <t>Czakó Gedeon</t>
  </si>
  <si>
    <t>Koncz Rezső</t>
  </si>
  <si>
    <t>Ravasz Imre</t>
  </si>
  <si>
    <t>Hajós Orsolya</t>
  </si>
  <si>
    <t>Mocsári Emilia</t>
  </si>
  <si>
    <t>Rideg Tekla</t>
  </si>
  <si>
    <t>Szabó Kázmér</t>
  </si>
  <si>
    <t>Zsoldos János</t>
  </si>
  <si>
    <t>Keszler Klára</t>
  </si>
  <si>
    <t>Dóka Konrád</t>
  </si>
  <si>
    <t>Medve Béla</t>
  </si>
  <si>
    <t>Petrányi Márkus</t>
  </si>
  <si>
    <t>Vörös Bence</t>
  </si>
  <si>
    <t>Radványi Dénes</t>
  </si>
  <si>
    <t>Polgár Dénes</t>
  </si>
  <si>
    <t>Siklósi Kálmán</t>
  </si>
  <si>
    <t>Mérei Roland</t>
  </si>
  <si>
    <t>Szakács Violetta</t>
  </si>
  <si>
    <t>Nyitrai Olimpia</t>
  </si>
  <si>
    <t>Pákozdi Kelemen</t>
  </si>
  <si>
    <t>Csontos Dorottya</t>
  </si>
  <si>
    <t>Hanák Mária</t>
  </si>
  <si>
    <t>Fábián Márta</t>
  </si>
  <si>
    <t>Torda Andor</t>
  </si>
  <si>
    <t>Mező Szervác</t>
  </si>
  <si>
    <t>Egyed Linda</t>
  </si>
  <si>
    <t>Buzsáki Borisz</t>
  </si>
  <si>
    <t>Bertók Tibor</t>
  </si>
  <si>
    <t>Kopácsi Dominika</t>
  </si>
  <si>
    <t>Fejes Ferenc</t>
  </si>
  <si>
    <t>Homoki Márta</t>
  </si>
  <si>
    <t>Sas Gedeon</t>
  </si>
  <si>
    <t>Vadász Valentin</t>
  </si>
  <si>
    <t>Bánki Viktória</t>
  </si>
  <si>
    <t>Gosztonyi Jónás</t>
  </si>
  <si>
    <t>Magyar Amália</t>
  </si>
  <si>
    <t>Kende Zsolt</t>
  </si>
  <si>
    <t>Somlai Melinda</t>
  </si>
  <si>
    <t>Gyulai Sebestény</t>
  </si>
  <si>
    <t>Fellegi Olívia</t>
  </si>
  <si>
    <t>Somogyi Tamara</t>
  </si>
  <si>
    <t>Káplár Heléna</t>
  </si>
  <si>
    <t>Hanák Beáta</t>
  </si>
  <si>
    <t>Cseke Györgyi</t>
  </si>
  <si>
    <t>Solymos Dániel</t>
  </si>
  <si>
    <t>Mohos Taksony</t>
  </si>
  <si>
    <t>Kónya Tivadar</t>
  </si>
  <si>
    <t>Engi Zita</t>
  </si>
  <si>
    <t>Rédei Jolán</t>
  </si>
  <si>
    <t>Czifra Dániel</t>
  </si>
  <si>
    <t>Gál Barna</t>
  </si>
  <si>
    <t>Somodi Csanád</t>
  </si>
  <si>
    <t>Szappanos Beáta</t>
  </si>
  <si>
    <t>Kalmár Viola</t>
  </si>
  <si>
    <t>Éles Hédi</t>
  </si>
  <si>
    <t>Szalai Hugó</t>
  </si>
  <si>
    <t>Duka Lóránt</t>
  </si>
  <si>
    <t>Gál Tamás</t>
  </si>
  <si>
    <t>Karikás Frigyes</t>
  </si>
  <si>
    <t>Sárközi Irén</t>
  </si>
  <si>
    <t>Kátai Lázár</t>
  </si>
  <si>
    <t>Váraljai Rózsa</t>
  </si>
  <si>
    <t>Ambrus Adél</t>
  </si>
  <si>
    <t>Pollák Gabriella</t>
  </si>
  <si>
    <t>Hamza Szeréna</t>
  </si>
  <si>
    <t>Dóczi István</t>
  </si>
  <si>
    <t>Huszák Lázár</t>
  </si>
  <si>
    <t>Sallai Gergely</t>
  </si>
  <si>
    <t>Abonyi Lujza</t>
  </si>
  <si>
    <t>Somlai Taksony</t>
  </si>
  <si>
    <t>Agócs Mária</t>
  </si>
  <si>
    <t>Juhász Fülöp</t>
  </si>
  <si>
    <t>Petró Terézia</t>
  </si>
  <si>
    <t>Sasvári Magdaléna</t>
  </si>
  <si>
    <t>Kurucz Zsófia</t>
  </si>
  <si>
    <t>Győri Orbán</t>
  </si>
  <si>
    <t>Huszka Bálint</t>
  </si>
  <si>
    <t>Fodor Kármen</t>
  </si>
  <si>
    <t>Duka Julianna</t>
  </si>
  <si>
    <t>Stark Melinda</t>
  </si>
  <si>
    <t>Petrányi Ágoston</t>
  </si>
  <si>
    <t>Dóka Gyöngyi</t>
  </si>
  <si>
    <t>Szentmiklósi Gabriella</t>
  </si>
  <si>
    <t>Gazsó Róbert</t>
  </si>
  <si>
    <t>Jankovics Vilmos</t>
  </si>
  <si>
    <t>Maróti Szidónia</t>
  </si>
  <si>
    <t>Szakács Arika</t>
  </si>
  <si>
    <t>Kertész Emil</t>
  </si>
  <si>
    <t>Torda Györgyi</t>
  </si>
  <si>
    <t>Beke Réka</t>
  </si>
  <si>
    <t>Rónai Roland</t>
  </si>
  <si>
    <t>Liptai Jónás</t>
  </si>
  <si>
    <t>Róka József</t>
  </si>
  <si>
    <t>Rádi Medárd</t>
  </si>
  <si>
    <t>Medve Róza</t>
  </si>
  <si>
    <t>Liptai Dorottya</t>
  </si>
  <si>
    <t>Szegő Sebestény</t>
  </si>
  <si>
    <t>Szemes Bonifác</t>
  </si>
  <si>
    <t>Sziva Gyula</t>
  </si>
  <si>
    <t>Mészáros Ármin</t>
  </si>
  <si>
    <t>Zentai Dávid</t>
  </si>
  <si>
    <t>Perjés Kristóf</t>
  </si>
  <si>
    <t>Pajor Ábel</t>
  </si>
  <si>
    <t>Hajnal Ambrus</t>
  </si>
  <si>
    <t>Török Márkó</t>
  </si>
  <si>
    <t>Toldi Magdolna</t>
  </si>
  <si>
    <t>Ács Antónia</t>
  </si>
  <si>
    <t>Vadász Katinka</t>
  </si>
  <si>
    <t>Zsoldos Sára</t>
  </si>
  <si>
    <t>Csáki Pál</t>
  </si>
  <si>
    <t>Császár Gitta</t>
  </si>
  <si>
    <t>Kállai Pálma</t>
  </si>
  <si>
    <t>Rédei Gyula</t>
  </si>
  <si>
    <t>Pék Mária</t>
  </si>
  <si>
    <t>Kerepesi Árpád</t>
  </si>
  <si>
    <t>Pákozdi Ignác</t>
  </si>
  <si>
    <t>Pete Margit</t>
  </si>
  <si>
    <t>Kárpáti Etelka</t>
  </si>
  <si>
    <t>Homoki Olimpia</t>
  </si>
  <si>
    <t>Hamza Franciska</t>
  </si>
  <si>
    <t>Valkó Katalin</t>
  </si>
  <si>
    <t>Vajda Pál</t>
  </si>
  <si>
    <t>Pécsi Medárd</t>
  </si>
  <si>
    <t>Roboz Roland</t>
  </si>
  <si>
    <t>Matos Lóránd</t>
  </si>
  <si>
    <t>Tihanyi Hajnalka</t>
  </si>
  <si>
    <t>Rákosi Lipót</t>
  </si>
  <si>
    <t>Huszár Edina</t>
  </si>
  <si>
    <t>Aradi András</t>
  </si>
  <si>
    <t>Megyeri Simon</t>
  </si>
  <si>
    <t>Koncz Dénes</t>
  </si>
  <si>
    <t>Perényi Kornél</t>
  </si>
  <si>
    <t>Gyimesi Hedvig</t>
  </si>
  <si>
    <t>Patkós Izabella</t>
  </si>
  <si>
    <t>Poór Csongor</t>
  </si>
  <si>
    <t>Boros Timót</t>
  </si>
  <si>
    <t>Holló Evelin</t>
  </si>
  <si>
    <t>Makai Pál</t>
  </si>
  <si>
    <t>Horváth Lukács</t>
  </si>
  <si>
    <t>Kállai Pál</t>
  </si>
  <si>
    <t>Fehér Mária</t>
  </si>
  <si>
    <t>Petényi Fülöp</t>
  </si>
  <si>
    <t>Gerő Gyula</t>
  </si>
  <si>
    <t>Patkós Marietta</t>
  </si>
  <si>
    <t>Sárai Bíborka</t>
  </si>
  <si>
    <t>Boros Jakab</t>
  </si>
  <si>
    <t>Laczkó Gyula</t>
  </si>
  <si>
    <t>Petró Gergely</t>
  </si>
  <si>
    <t>Magyar Emil</t>
  </si>
  <si>
    <t>Egerszegi Emma</t>
  </si>
  <si>
    <t>Bognár Borisz</t>
  </si>
  <si>
    <t>Eke Pálma</t>
  </si>
  <si>
    <t>Sulyok Móricz</t>
  </si>
  <si>
    <t>Kádár Rita</t>
  </si>
  <si>
    <t>Kondor Magdaléna</t>
  </si>
  <si>
    <t>Jenei Alíz</t>
  </si>
  <si>
    <t>Unger Fülöp</t>
  </si>
  <si>
    <t>Baranyai Ágoston</t>
  </si>
  <si>
    <t>Csóka Valentin</t>
  </si>
  <si>
    <t>Morvai Vilma</t>
  </si>
  <si>
    <t>Borbély Luca</t>
  </si>
  <si>
    <t>Mester Angéla</t>
  </si>
  <si>
    <t>Révész Magda</t>
  </si>
  <si>
    <t>Liptai Domonkos</t>
  </si>
  <si>
    <t>Somodi Zsombor</t>
  </si>
  <si>
    <t>Szabados Imre</t>
  </si>
  <si>
    <t>Pozsgai Árpád</t>
  </si>
  <si>
    <t>Kopácsi Ágnes</t>
  </si>
  <si>
    <t>Éles Kelemen</t>
  </si>
  <si>
    <t>Sajó Ádám</t>
  </si>
  <si>
    <t>Péli Levente</t>
  </si>
  <si>
    <t>Perger Evelin</t>
  </si>
  <si>
    <t>Karácsony Ambrus</t>
  </si>
  <si>
    <t>biológia</t>
  </si>
  <si>
    <t>földrajz</t>
  </si>
  <si>
    <t>kémia</t>
  </si>
  <si>
    <t>matematika</t>
  </si>
  <si>
    <t>történelem</t>
  </si>
  <si>
    <t>név</t>
  </si>
  <si>
    <t>diák AZ</t>
  </si>
  <si>
    <t>tantárgy</t>
  </si>
  <si>
    <t>pontszám</t>
  </si>
  <si>
    <t>Sebő Ida</t>
  </si>
  <si>
    <t>Kormos Károly</t>
  </si>
  <si>
    <t>Szemes Olívia</t>
  </si>
  <si>
    <t>Mátrai Klára</t>
  </si>
  <si>
    <t>Sutka Tamás</t>
  </si>
  <si>
    <t>Simák Ármin</t>
  </si>
  <si>
    <t>Dózsa Tiborc</t>
  </si>
  <si>
    <t>Huber Bernát</t>
  </si>
  <si>
    <t>Réti Szaniszló</t>
  </si>
  <si>
    <t>Kövér Vazul</t>
  </si>
  <si>
    <t>Pálvölgyi Jakab</t>
  </si>
  <si>
    <t>Dóczi Emma</t>
  </si>
  <si>
    <t>Kútvölgyi Kázmér</t>
  </si>
  <si>
    <t>Kormos Dénes</t>
  </si>
  <si>
    <t>Kónya Zsuzsanna</t>
  </si>
  <si>
    <t>Árva András</t>
  </si>
  <si>
    <t>Eszes Bíborka</t>
  </si>
  <si>
    <t>Pomázi Levente</t>
  </si>
  <si>
    <t>Pákozdi Ödön</t>
  </si>
  <si>
    <t>Kapás Annamária</t>
  </si>
  <si>
    <t>Megyesi Kolos</t>
  </si>
  <si>
    <t>Kerekes Kristóf</t>
  </si>
  <si>
    <t>Kondor Róza</t>
  </si>
  <si>
    <t>Zentai Pongrác</t>
  </si>
  <si>
    <t>Fehér Csilla</t>
  </si>
  <si>
    <t>Földvári Valentin</t>
  </si>
  <si>
    <t>Gémes Kornél</t>
  </si>
  <si>
    <t>Mohácsi Albert</t>
  </si>
  <si>
    <t>Temesi Márk</t>
  </si>
  <si>
    <t>Müller Csenger</t>
  </si>
  <si>
    <t>Rádai Linda</t>
  </si>
  <si>
    <t>Makra Gellért</t>
  </si>
  <si>
    <t>Szántó Bálint</t>
  </si>
  <si>
    <t>Osváth Marietta</t>
  </si>
  <si>
    <t>Mohácsi János</t>
  </si>
  <si>
    <t>Madarász Tamás</t>
  </si>
  <si>
    <t>Solymár Patrícia</t>
  </si>
  <si>
    <t>Sebő Klára</t>
  </si>
  <si>
    <t>Kőműves Bence</t>
  </si>
  <si>
    <t>Zágon Elvira</t>
  </si>
  <si>
    <t>Juhász Oszkár</t>
  </si>
  <si>
    <t>Kubinyi Amanda</t>
  </si>
  <si>
    <t>Somogyi Jeromos</t>
  </si>
  <si>
    <t>Sánta Mihály</t>
  </si>
  <si>
    <t>Engi Jenő</t>
  </si>
  <si>
    <t>Szabados Elza</t>
  </si>
  <si>
    <t>Hidas Arika</t>
  </si>
  <si>
    <t>Kovács Marianna</t>
  </si>
  <si>
    <t>Osváth Andrea</t>
  </si>
  <si>
    <t>Rákosi Luca</t>
  </si>
  <si>
    <t>Szirtes Klotild</t>
  </si>
  <si>
    <t>Faludi Áron</t>
  </si>
  <si>
    <t>Gond Gergely</t>
  </si>
  <si>
    <t>Poór Géza</t>
  </si>
  <si>
    <t>Dobos Hunor</t>
  </si>
  <si>
    <t>Diószegi Amália</t>
  </si>
  <si>
    <t>Sütő Noémi</t>
  </si>
  <si>
    <t>Sasvári Dezső</t>
  </si>
  <si>
    <t>Pósa Mózes</t>
  </si>
  <si>
    <t>Pelle Bendegúz</t>
  </si>
  <si>
    <t>Sáfrány Ágnes</t>
  </si>
  <si>
    <t>Pákozdi Móricz</t>
  </si>
  <si>
    <t>Veress Győző</t>
  </si>
  <si>
    <t>Kormos Leonóra</t>
  </si>
  <si>
    <t>Réz Bendegúz</t>
  </si>
  <si>
    <t>Csorba Natália</t>
  </si>
  <si>
    <t>Homoki Kálmán</t>
  </si>
  <si>
    <t>Ember Ödön</t>
  </si>
  <si>
    <t>Ambrus Izsó</t>
  </si>
  <si>
    <t>Ritter Bíborka</t>
  </si>
  <si>
    <t>Palágyi Márkó</t>
  </si>
  <si>
    <t>Rádai Illés</t>
  </si>
  <si>
    <t>Hidas Ignác</t>
  </si>
  <si>
    <t>Gyulai Bódog</t>
  </si>
  <si>
    <t>Hamza Patrícia</t>
  </si>
  <si>
    <t>Rényi Melinda</t>
  </si>
  <si>
    <t>Fekete Erzsébet</t>
  </si>
  <si>
    <t>Paál Levente</t>
  </si>
  <si>
    <t>Hajós Edit</t>
  </si>
  <si>
    <t>Palotás Tünde</t>
  </si>
  <si>
    <t>Bodrogi Ábrahám</t>
  </si>
  <si>
    <t>Gönci Gedeon</t>
  </si>
  <si>
    <t>Dévényi Antal</t>
  </si>
  <si>
    <t>Bobák Emil</t>
  </si>
  <si>
    <t>Forrai Móricz</t>
  </si>
  <si>
    <t>Bakonyi Noémi</t>
  </si>
  <si>
    <t>Karsai Bálint</t>
  </si>
  <si>
    <t>Padányi Jeromos</t>
  </si>
  <si>
    <t>Honti László</t>
  </si>
  <si>
    <t>Hajós Mihály</t>
  </si>
  <si>
    <t>Piros Rozália</t>
  </si>
  <si>
    <t>Fényes Laura</t>
  </si>
  <si>
    <t>Román Gergely</t>
  </si>
  <si>
    <t>Bodrogi Olimpia</t>
  </si>
  <si>
    <t>Pék Tiborc</t>
  </si>
  <si>
    <t>Egervári Bence</t>
  </si>
  <si>
    <t>Német Tódor</t>
  </si>
  <si>
    <t>Gyimesi Ilona</t>
  </si>
  <si>
    <t>Haraszti Dorottya</t>
  </si>
  <si>
    <t>Szente Kálmán</t>
  </si>
  <si>
    <t>Galla Fábián</t>
  </si>
  <si>
    <t>Gond Jenő</t>
  </si>
  <si>
    <t>Mohácsi Tamás</t>
  </si>
  <si>
    <t>Kútvölgyi Lipót</t>
  </si>
  <si>
    <t>Molnár Matild</t>
  </si>
  <si>
    <t>Kökény Nándor</t>
  </si>
  <si>
    <t>Császár Boriska</t>
  </si>
  <si>
    <t>Maróti Ferenc</t>
  </si>
  <si>
    <t>Polányi Sebestény</t>
  </si>
  <si>
    <t>Gyarmati Gertrúd</t>
  </si>
  <si>
    <t>Perger Nóra</t>
  </si>
  <si>
    <t>Szigeti Alíz</t>
  </si>
  <si>
    <t>Koczka Mária</t>
  </si>
  <si>
    <t>Sóti Vera</t>
  </si>
  <si>
    <t>Pusztai Adalbert</t>
  </si>
  <si>
    <t>Köves Melinda</t>
  </si>
  <si>
    <t>Sulyok Bendegúz</t>
  </si>
  <si>
    <t>Kormos Imre</t>
  </si>
  <si>
    <t>Deák Kata</t>
  </si>
  <si>
    <t>Kozma Róbert</t>
  </si>
  <si>
    <t>Kormos Tilda</t>
  </si>
  <si>
    <t>Szebeni Vencel</t>
  </si>
  <si>
    <t>Piros Adrienn</t>
  </si>
  <si>
    <t>Szigetvári Sebestény</t>
  </si>
  <si>
    <t>Fenyvesi Tihamér</t>
  </si>
  <si>
    <t>Orosz Martina</t>
  </si>
  <si>
    <t>Ocskó Vera</t>
  </si>
  <si>
    <t>Palágyi Zoltán</t>
  </si>
  <si>
    <t>Csontos Gábor</t>
  </si>
  <si>
    <t>Müller Géza</t>
  </si>
  <si>
    <t>Serföző Károly</t>
  </si>
  <si>
    <t>Kovács Amália</t>
  </si>
  <si>
    <t>Liptai Gábor</t>
  </si>
  <si>
    <t>Bajor Kornél</t>
  </si>
  <si>
    <t>Honti Boriska</t>
  </si>
  <si>
    <t>Surányi Pál</t>
  </si>
  <si>
    <t>Hatvani Kármen</t>
  </si>
  <si>
    <t>Mocsári Máté</t>
  </si>
  <si>
    <t>Sági Adél</t>
  </si>
  <si>
    <t>Réti Jenő</t>
  </si>
  <si>
    <t>Szegő Krisztián</t>
  </si>
  <si>
    <t>Tárnok János</t>
  </si>
  <si>
    <t>Bene Krisztián</t>
  </si>
  <si>
    <t>Takács Kriszta</t>
  </si>
  <si>
    <t>Sárkány Mihály</t>
  </si>
  <si>
    <t>Ormai Zsóka</t>
  </si>
  <si>
    <t>Sánta Vince</t>
  </si>
  <si>
    <t>Balla Iván</t>
  </si>
  <si>
    <t>Szoboszlai Barnabás</t>
  </si>
  <si>
    <t>Bajor Tamara</t>
  </si>
  <si>
    <t>Sós Noémi</t>
  </si>
  <si>
    <t>Hegyi Gizella</t>
  </si>
  <si>
    <t>Iványi Jolán</t>
  </si>
  <si>
    <t>Berényi Pál</t>
  </si>
  <si>
    <t>Váradi Bendegúz</t>
  </si>
  <si>
    <t>Szilágyi Árpád</t>
  </si>
  <si>
    <t>Ötvös Elvira</t>
  </si>
  <si>
    <t>Tihanyi Áron</t>
  </si>
  <si>
    <t>Petrányi Tihamér</t>
  </si>
  <si>
    <t>Murányi Tamás</t>
  </si>
  <si>
    <t>Murányi Alfréd</t>
  </si>
  <si>
    <t>Bodó Liza</t>
  </si>
  <si>
    <t>Alföldi Vilmos</t>
  </si>
  <si>
    <t>Szász Andor</t>
  </si>
  <si>
    <t>Roboz Ernő</t>
  </si>
  <si>
    <t>Ocskó Domonkos</t>
  </si>
  <si>
    <t>Bognár Csenge</t>
  </si>
  <si>
    <t>Pelle Orbán</t>
  </si>
  <si>
    <t>Olajos Szervác</t>
  </si>
  <si>
    <t>Gyenes Barbara</t>
  </si>
  <si>
    <t>Keleti Elvira</t>
  </si>
  <si>
    <t>Pálvölgyi Bertalan</t>
  </si>
  <si>
    <t>Deák Menyhért</t>
  </si>
  <si>
    <t>Köves Károly</t>
  </si>
  <si>
    <t>Pelle Vilmos</t>
  </si>
  <si>
    <t>Liptai Barbara</t>
  </si>
  <si>
    <t>Angyal Botond</t>
  </si>
  <si>
    <t>Eke Iván</t>
  </si>
  <si>
    <t>Fenyvesi Lóránt</t>
  </si>
  <si>
    <t>Sziráki Edit</t>
  </si>
  <si>
    <t>Medve Fülöp</t>
  </si>
  <si>
    <t>Homoki Szaniszló</t>
  </si>
  <si>
    <t>Solymár Lukács</t>
  </si>
  <si>
    <t>Berényi Simon</t>
  </si>
  <si>
    <t>Kútvölgyi Noémi</t>
  </si>
  <si>
    <t>Gerő Edina</t>
  </si>
  <si>
    <t>Gulyás Tivadar</t>
  </si>
  <si>
    <t>Bobák Boglár</t>
  </si>
  <si>
    <t>Rózsahegyi Edina</t>
  </si>
  <si>
    <t>Pelle Tivadar</t>
  </si>
  <si>
    <t>Ocskó Veronika</t>
  </si>
  <si>
    <t>Csaplár Györgyi</t>
  </si>
  <si>
    <t>Pesti Péter</t>
  </si>
  <si>
    <t>Győri Fábián</t>
  </si>
  <si>
    <t>Rozsnyai József</t>
  </si>
  <si>
    <t>Müller Péter</t>
  </si>
  <si>
    <t>Péli Felícia</t>
  </si>
  <si>
    <t>Török Hedvig</t>
  </si>
  <si>
    <t>Palotás László</t>
  </si>
  <si>
    <t>Dévényi Bíborka</t>
  </si>
  <si>
    <t>Kövér Gedeon</t>
  </si>
  <si>
    <t>Ligeti Áron</t>
  </si>
  <si>
    <t>Pap Boldizsár</t>
  </si>
  <si>
    <t>Mohácsi Marietta</t>
  </si>
  <si>
    <t>Táborosi Anita</t>
  </si>
  <si>
    <t>Mátyus Mihály</t>
  </si>
  <si>
    <t>Orosz Szilvia</t>
  </si>
  <si>
    <t>Faludi Rita</t>
  </si>
  <si>
    <t>Szentgyörgyi Ilona</t>
  </si>
  <si>
    <t>Perényi Kázmér</t>
  </si>
  <si>
    <t>Pongó Barbara</t>
  </si>
  <si>
    <t>Keresztes Örs</t>
  </si>
  <si>
    <t>Budai Annamária</t>
  </si>
  <si>
    <t>Váradi Péter</t>
  </si>
  <si>
    <t>Ócsai Krisztián</t>
  </si>
  <si>
    <t>Erdélyi Sarolta</t>
  </si>
  <si>
    <t>Rácz Annabella</t>
  </si>
  <si>
    <t>Czakó Vazul</t>
  </si>
  <si>
    <t>Pete Kristóf</t>
  </si>
  <si>
    <t>Szigetvári Orsolya</t>
  </si>
  <si>
    <t>Jámbor Vera</t>
  </si>
  <si>
    <t>Gyurkovics Dóra</t>
  </si>
  <si>
    <t>Huszár Simon</t>
  </si>
  <si>
    <t>Mezei Lázár</t>
  </si>
  <si>
    <t>Rényi Izsó</t>
  </si>
  <si>
    <t>Sóti Rudolf</t>
  </si>
  <si>
    <t>Dombi Magdolna</t>
  </si>
  <si>
    <t>Sánta Katalin</t>
  </si>
  <si>
    <t>Vida Gedeon</t>
  </si>
  <si>
    <t>Stadler Vencel</t>
  </si>
  <si>
    <t>Hidas Rókus</t>
  </si>
  <si>
    <t>Rajnai Szaniszló</t>
  </si>
  <si>
    <t>Svéd Borbála</t>
  </si>
  <si>
    <t>Jurányi Adél</t>
  </si>
  <si>
    <t>Reményi Szeréna</t>
  </si>
  <si>
    <t>Mezei Nándor</t>
  </si>
  <si>
    <t>Gönci Sándor</t>
  </si>
  <si>
    <t>Rostás Felícia</t>
  </si>
  <si>
    <t>Székely Richárd</t>
  </si>
  <si>
    <t>Bódi Malvin</t>
  </si>
  <si>
    <t>Vámos Virág</t>
  </si>
  <si>
    <t>Szepesi Mária</t>
  </si>
  <si>
    <t>Mosolygó Gusztáv</t>
  </si>
  <si>
    <t>Pusztai Bódog</t>
  </si>
  <si>
    <t>Gyenes Domonkos</t>
  </si>
  <si>
    <t>Borbély Pál</t>
  </si>
  <si>
    <t>Perényi Balázs</t>
  </si>
  <si>
    <t>Rideg Lajos</t>
  </si>
  <si>
    <t>Surányi Ábrahám</t>
  </si>
  <si>
    <t>Ujvári Vilmos</t>
  </si>
  <si>
    <t>Szeberényi Barnabás</t>
  </si>
  <si>
    <t>Bán Ádám</t>
  </si>
  <si>
    <t>Soltész Krisztián</t>
  </si>
  <si>
    <t>Hamza Piroska</t>
  </si>
  <si>
    <t>Serföző Erik</t>
  </si>
  <si>
    <t>Hatvani Viktor</t>
  </si>
  <si>
    <t>Pozsonyi Csanád</t>
  </si>
  <si>
    <t>Hernádi Gáspár</t>
  </si>
  <si>
    <t>Kövér Gerzson</t>
  </si>
  <si>
    <t>Tóth Lajos</t>
  </si>
  <si>
    <t>Hamar Márkus</t>
  </si>
  <si>
    <t>Liptai Olivér</t>
  </si>
  <si>
    <t>Halmosi Péter</t>
  </si>
  <si>
    <t>Török Margit</t>
  </si>
  <si>
    <t>Gyulai Lázár</t>
  </si>
  <si>
    <t>Szabó Csanád</t>
  </si>
  <si>
    <t>Forrai Béla</t>
  </si>
  <si>
    <t>Angyal Konrád</t>
  </si>
  <si>
    <t>Rádai Gertrúd</t>
  </si>
  <si>
    <t>Gosztonyi Elvira</t>
  </si>
  <si>
    <t>Hernádi Bíborka</t>
  </si>
  <si>
    <t>Ódor Lívia</t>
  </si>
  <si>
    <t>Huber Tivadar</t>
  </si>
  <si>
    <t>Várnai Paula</t>
  </si>
  <si>
    <t>Majoros Ervin</t>
  </si>
  <si>
    <t>Bagi Katalin</t>
  </si>
  <si>
    <t>Petró Emese</t>
  </si>
  <si>
    <t>Kis Arnold</t>
  </si>
  <si>
    <t>Pénzes Tihamér</t>
  </si>
  <si>
    <t>Csiszár Antónia</t>
  </si>
  <si>
    <t>Lapos Kornél</t>
  </si>
  <si>
    <t>Matos Patrícia</t>
  </si>
  <si>
    <t>Eke Roland</t>
  </si>
  <si>
    <t>Stark Kármen</t>
  </si>
  <si>
    <t>Pócsik Lívia</t>
  </si>
  <si>
    <t>Hidvégi Emőd</t>
  </si>
  <si>
    <t>Cseke Viktória</t>
  </si>
  <si>
    <t>Vörös Gitta</t>
  </si>
  <si>
    <t>Gerencsér Ádám</t>
  </si>
  <si>
    <t>Dóka Roland</t>
  </si>
  <si>
    <t>Torda Levente</t>
  </si>
  <si>
    <t>Táborosi Félix</t>
  </si>
  <si>
    <t>Balla Fábián</t>
  </si>
  <si>
    <t>Radványi Viola</t>
  </si>
  <si>
    <t>Tárnok Titusz</t>
  </si>
  <si>
    <t>Asztalos Noémi</t>
  </si>
  <si>
    <t>Müller Zsolt</t>
  </si>
  <si>
    <t>Kövér Szilárd</t>
  </si>
  <si>
    <t>Lugosi Norbert</t>
  </si>
  <si>
    <t>Romhányi Klotild</t>
  </si>
  <si>
    <t>Torda Ágoston</t>
  </si>
  <si>
    <t>Liptai Herman</t>
  </si>
  <si>
    <t>Sárosi Evelin</t>
  </si>
  <si>
    <t>Bódi Gerzson</t>
  </si>
  <si>
    <t>Pozsonyi Zoltán</t>
  </si>
  <si>
    <t>Fenyvesi Olga</t>
  </si>
  <si>
    <t>Hegyi Katalin</t>
  </si>
  <si>
    <t>Fehérvári Vince</t>
  </si>
  <si>
    <t>Aradi Kata</t>
  </si>
  <si>
    <t>Szekeres Aurél</t>
  </si>
  <si>
    <t>Lakos Laura</t>
  </si>
  <si>
    <t>Vajda Jónás</t>
  </si>
  <si>
    <t>Gerő Félix</t>
  </si>
  <si>
    <t>Szatmári Gedeon</t>
  </si>
  <si>
    <t>Füleki Emma</t>
  </si>
  <si>
    <t>Parádi Pál</t>
  </si>
  <si>
    <t>Kónya Ármin</t>
  </si>
  <si>
    <t>Várnai Herman</t>
  </si>
  <si>
    <t>Balog Edina</t>
  </si>
  <si>
    <t>Petényi Fábián</t>
  </si>
  <si>
    <t>Sényi Zsuzsanna</t>
  </si>
  <si>
    <t>Eszes Lázár</t>
  </si>
  <si>
    <t>Csernus Arnold</t>
  </si>
  <si>
    <t>Arató Rózsa</t>
  </si>
  <si>
    <t>Patkós Magdaléna</t>
  </si>
  <si>
    <t>Petrás Márk</t>
  </si>
  <si>
    <t>Sulyok Örs</t>
  </si>
  <si>
    <t>Mátyus Zita</t>
  </si>
  <si>
    <t>Pölöskei László</t>
  </si>
  <si>
    <t>Stadler Mátyás</t>
  </si>
  <si>
    <t>Dorogi Zoltán</t>
  </si>
  <si>
    <t>Sánta Iván</t>
  </si>
  <si>
    <t>Patkós Örs</t>
  </si>
  <si>
    <t>Szemes Gáspár</t>
  </si>
  <si>
    <t>Bolgár Kata</t>
  </si>
  <si>
    <t>Szendrei Benő</t>
  </si>
  <si>
    <t>Lengyel Adorján</t>
  </si>
  <si>
    <t>Gyurkovics Szidónia</t>
  </si>
  <si>
    <t>Ötvös Huba</t>
  </si>
  <si>
    <t>Bagi Kolos</t>
  </si>
  <si>
    <t>Kurucz Arany</t>
  </si>
  <si>
    <t>Palágyi Gábor</t>
  </si>
  <si>
    <t>Fóti Ágota</t>
  </si>
  <si>
    <t>Gerő Irma</t>
  </si>
  <si>
    <t>Bódi Marietta</t>
  </si>
  <si>
    <t>Raffai Máté</t>
  </si>
  <si>
    <t>Almási Andrea</t>
  </si>
  <si>
    <t>Somogyi Ágnes</t>
  </si>
  <si>
    <t>Adorján Bernát</t>
  </si>
  <si>
    <t>Dallos Bence</t>
  </si>
  <si>
    <t>Szemes Valentin</t>
  </si>
  <si>
    <t>Egervári Miléna</t>
  </si>
  <si>
    <t>Mátrai Lili</t>
  </si>
  <si>
    <t>Lakos Terézia</t>
  </si>
  <si>
    <t>Parádi Vajk</t>
  </si>
  <si>
    <t>Jurányi Emőke</t>
  </si>
  <si>
    <t>Mózer Sarolta</t>
  </si>
  <si>
    <t>Toldi Ilona</t>
  </si>
  <si>
    <t>Fóti Andor</t>
  </si>
  <si>
    <t>Kosztolányi Elvira</t>
  </si>
  <si>
    <t>Körmendi Réka</t>
  </si>
  <si>
    <t>Eke Gyula</t>
  </si>
  <si>
    <t>Sátori Barbara</t>
  </si>
  <si>
    <t>Porkoláb Lóránt</t>
  </si>
  <si>
    <t>Hornyák Marcell</t>
  </si>
  <si>
    <t>Pásztor Vince</t>
  </si>
  <si>
    <t>Szalontai Tímea</t>
  </si>
  <si>
    <t>Harmat Elvira</t>
  </si>
  <si>
    <t>Homoki Szabrina</t>
  </si>
  <si>
    <t>Heller Orbán</t>
  </si>
  <si>
    <t>Rigó Viktor</t>
  </si>
  <si>
    <t>Pados Erzsébet</t>
  </si>
  <si>
    <t>Eszes Gabriella</t>
  </si>
  <si>
    <t>Mocsári Csilla</t>
  </si>
  <si>
    <t>Kormos Menyhért</t>
  </si>
  <si>
    <t>Galla Dániel</t>
  </si>
  <si>
    <t>Kozák Gedeon</t>
  </si>
  <si>
    <t>Kosztolányi Izsó</t>
  </si>
  <si>
    <t>Serföző Zsófia</t>
  </si>
  <si>
    <t>Kádár Teréz</t>
  </si>
  <si>
    <t>Komáromi Vilmos</t>
  </si>
  <si>
    <t>Udvardi Zoltán</t>
  </si>
  <si>
    <t>Iványi Lilla</t>
  </si>
  <si>
    <t>Nyéki Vazul</t>
  </si>
  <si>
    <t>Huszák Gergő</t>
  </si>
  <si>
    <t>Benkő Júlia</t>
  </si>
  <si>
    <t>Ács Erik</t>
  </si>
  <si>
    <t>Gyimesi Orsolya</t>
  </si>
  <si>
    <t>Füleki Borisz</t>
  </si>
  <si>
    <t>Gyimesi Nóra</t>
  </si>
  <si>
    <t>Czifra Tivadar</t>
  </si>
  <si>
    <t>Oláh Magdolna</t>
  </si>
  <si>
    <t>Kormos Edgár</t>
  </si>
  <si>
    <t>Perlaki Margit</t>
  </si>
  <si>
    <t>Rózsavölgyi Zsófia</t>
  </si>
  <si>
    <t>Vajda Lázár</t>
  </si>
  <si>
    <t>Olajos Gellért</t>
  </si>
  <si>
    <t>Stark György</t>
  </si>
  <si>
    <t>Unger Gedeon</t>
  </si>
  <si>
    <t>Korpás Emil</t>
  </si>
  <si>
    <t>Csordás Róbert</t>
  </si>
  <si>
    <t>Homoki Kolos</t>
  </si>
  <si>
    <t>Ráth Viktor</t>
  </si>
  <si>
    <t>Kozák Marianna</t>
  </si>
  <si>
    <t>Révész Pál</t>
  </si>
  <si>
    <t>Kőszegi Vilmos</t>
  </si>
  <si>
    <t>Erdős Frigyes</t>
  </si>
  <si>
    <t>Rudas Antal</t>
  </si>
  <si>
    <t>Fóti Flóra</t>
  </si>
  <si>
    <t>Bíró Virág</t>
  </si>
  <si>
    <t>Hernádi Viktória</t>
  </si>
  <si>
    <t>Garamvölgyi Cecilia</t>
  </si>
  <si>
    <t>Szilágyi Marianna</t>
  </si>
  <si>
    <t>Horváth Olívia</t>
  </si>
  <si>
    <t>Szegedi Domonkos</t>
  </si>
  <si>
    <t>Sasvári Mózes</t>
  </si>
  <si>
    <t>Suba Katalin</t>
  </si>
  <si>
    <t>Vida Dénes</t>
  </si>
  <si>
    <t>Madarász Olívia</t>
  </si>
  <si>
    <t>Bognár Valentin</t>
  </si>
  <si>
    <t>Lovász Simon</t>
  </si>
  <si>
    <t>Kerekes Bertalan</t>
  </si>
  <si>
    <t>Virág Katalin</t>
  </si>
  <si>
    <t>Káldor Magdaléna</t>
  </si>
  <si>
    <t>Roboz Árpád</t>
  </si>
  <si>
    <t>Tar Ákos</t>
  </si>
  <si>
    <t>Zentai Bulcsú</t>
  </si>
  <si>
    <t>Sárosi Ábrahám</t>
  </si>
  <si>
    <t>Szatmári Soma</t>
  </si>
  <si>
    <t>Korda Szabolcs</t>
  </si>
  <si>
    <t>Müller Kolos</t>
  </si>
  <si>
    <t>Szentgyörgyi Magdolna</t>
  </si>
  <si>
    <t>Varga Richárd</t>
  </si>
  <si>
    <t>Szoboszlai Rozália</t>
  </si>
  <si>
    <t>Jámbor Mária</t>
  </si>
  <si>
    <t>Szanyi Jenő</t>
  </si>
  <si>
    <t>Ocskó Hugó</t>
  </si>
  <si>
    <t>Jancsó Hédi</t>
  </si>
  <si>
    <t>Hegyi Helga</t>
  </si>
  <si>
    <t>Deli Bence</t>
  </si>
  <si>
    <t>Perjés Miklós</t>
  </si>
  <si>
    <t>Szendrei Lázár</t>
  </si>
  <si>
    <t>Radnóti Menyhért</t>
  </si>
  <si>
    <t>Porkoláb Zétény</t>
  </si>
  <si>
    <t>Szerencsés Helga</t>
  </si>
  <si>
    <t>Liptai Győző</t>
  </si>
  <si>
    <t>Seres Rita</t>
  </si>
  <si>
    <t>Karácsony Ede</t>
  </si>
  <si>
    <t>Hamza Szilvia</t>
  </si>
  <si>
    <t>Jankovics Roland</t>
  </si>
  <si>
    <t>Ujvári Fülöp</t>
  </si>
  <si>
    <t>Temesi Anikó</t>
  </si>
  <si>
    <t>Selényi Bence</t>
  </si>
  <si>
    <t>Pomázi Özséb</t>
  </si>
  <si>
    <t>Parádi István</t>
  </si>
  <si>
    <t>Müller Olivér</t>
  </si>
  <si>
    <t>Pallagi Noémi</t>
  </si>
  <si>
    <t>Körmendi Ferenc</t>
  </si>
  <si>
    <t>Almási Tekla</t>
  </si>
  <si>
    <t>Dombi Ottó</t>
  </si>
  <si>
    <t>Dózsa Éva</t>
  </si>
  <si>
    <t>Fitos Emőke</t>
  </si>
  <si>
    <t>Országh Emma</t>
  </si>
  <si>
    <t>Jávor Ödön</t>
  </si>
  <si>
    <t>Surányi Sára</t>
  </si>
  <si>
    <t>Cseh Rózsa</t>
  </si>
  <si>
    <t>Kun Ildikó</t>
  </si>
  <si>
    <t>Mocsári Emese</t>
  </si>
  <si>
    <t>Sallai Kornél</t>
  </si>
  <si>
    <t>Vass Debóra</t>
  </si>
  <si>
    <t>Halasi Tihamér</t>
  </si>
  <si>
    <t>Roboz Magdaléna</t>
  </si>
  <si>
    <t>Sápi Kelemen</t>
  </si>
  <si>
    <t>Csaplár Salamon</t>
  </si>
  <si>
    <t>Udvardi Dániel</t>
  </si>
  <si>
    <t>Bolgár Melinda</t>
  </si>
  <si>
    <t>Kulcsár Nelli</t>
  </si>
  <si>
    <t>Dóczi Olivér</t>
  </si>
  <si>
    <t>Pázmány Judit</t>
  </si>
  <si>
    <t>Havas Nándor</t>
  </si>
  <si>
    <t>Baranyai Vencel</t>
  </si>
  <si>
    <t>Zala Zoltán</t>
  </si>
  <si>
    <t>Bodó Mihály</t>
  </si>
  <si>
    <t>Nádasi Erik</t>
  </si>
  <si>
    <t>Maróti Orsolya</t>
  </si>
  <si>
    <t>Hernádi Miléna</t>
  </si>
  <si>
    <t>Polányi Edina</t>
  </si>
  <si>
    <t>Koczka Gyula</t>
  </si>
  <si>
    <t>Kontra Dénes</t>
  </si>
  <si>
    <t>Madarász Bendegúz</t>
  </si>
  <si>
    <t>Novák Zita</t>
  </si>
  <si>
    <t>Mocsári Sára</t>
  </si>
  <si>
    <t>Mikó Eszter</t>
  </si>
  <si>
    <t>Végh Valéria</t>
  </si>
  <si>
    <t>Rózsavölgyi Márkus</t>
  </si>
  <si>
    <t>Galambos Tamás</t>
  </si>
  <si>
    <t>Makra Richárd</t>
  </si>
  <si>
    <t>Szarka Edvin</t>
  </si>
  <si>
    <t>Koltai Zsófia</t>
  </si>
  <si>
    <t>Fellegi Csilla</t>
  </si>
  <si>
    <t>Pintér József</t>
  </si>
  <si>
    <t>Perlaki Attila</t>
  </si>
  <si>
    <t>Sárkány Nóra</t>
  </si>
  <si>
    <t>Rádi Arany</t>
  </si>
  <si>
    <t>Selényi Ilona</t>
  </si>
  <si>
    <t>Kerepesi Bíborka</t>
  </si>
  <si>
    <t>Vörös Arika</t>
  </si>
  <si>
    <t>Kósa Lilla</t>
  </si>
  <si>
    <t>Frank Barbara</t>
  </si>
  <si>
    <t>Surányi Ibolya</t>
  </si>
  <si>
    <t>Sajó Aranka</t>
  </si>
  <si>
    <t>Ács Kata</t>
  </si>
  <si>
    <t>Gerő Vanda</t>
  </si>
  <si>
    <t>Selényi Csongor</t>
  </si>
  <si>
    <t>Szász Vince</t>
  </si>
  <si>
    <t>Czifra Magdolna</t>
  </si>
  <si>
    <t>Valkó Kinga</t>
  </si>
  <si>
    <t>Lovász Amália</t>
  </si>
  <si>
    <t>Munkácsi Irma</t>
  </si>
  <si>
    <t>Kovács Gizella</t>
  </si>
  <si>
    <t>Szanyi Renáta</t>
  </si>
  <si>
    <t>Perger Mátyás</t>
  </si>
  <si>
    <t>Vágó Borbála</t>
  </si>
  <si>
    <t>Jancsó Malvin</t>
  </si>
  <si>
    <t>Sényi Gerda</t>
  </si>
  <si>
    <t>Deli Ágota</t>
  </si>
  <si>
    <t>Komáromi Pál</t>
  </si>
  <si>
    <t>Unger Judit</t>
  </si>
  <si>
    <t>Simák Emőke</t>
  </si>
  <si>
    <t>Sátori Mária</t>
  </si>
  <si>
    <t>Sényi Anikó</t>
  </si>
  <si>
    <t>Csordás Gabriella</t>
  </si>
  <si>
    <t>Mátrai Vince</t>
  </si>
  <si>
    <t>Eszes Helga</t>
  </si>
  <si>
    <t>Szamosi Kálmán</t>
  </si>
  <si>
    <t>Laczkó Kálmán</t>
  </si>
  <si>
    <t>Tihanyi Rezső</t>
  </si>
  <si>
    <t>Kemény Kolos</t>
  </si>
  <si>
    <t>Borbély Illés</t>
  </si>
  <si>
    <t>Bihari Emőd</t>
  </si>
  <si>
    <t>Orosz Ferenc</t>
  </si>
  <si>
    <t>Szegő Annamária</t>
  </si>
  <si>
    <t>Révész Dénes</t>
  </si>
  <si>
    <t>Pálvölgyi Ágoston</t>
  </si>
  <si>
    <t>Almási Rózsa</t>
  </si>
  <si>
    <t>Pázmány Martina</t>
  </si>
  <si>
    <t>Erdős Norbert</t>
  </si>
  <si>
    <t>Körmendi Olivér</t>
  </si>
  <si>
    <t>Pataki Fábián</t>
  </si>
  <si>
    <t>Keresztes Natália</t>
  </si>
  <si>
    <t>Makai Tamás</t>
  </si>
  <si>
    <t>Pintér Violetta</t>
  </si>
  <si>
    <t>Hanák Linda</t>
  </si>
  <si>
    <t>Hegyi Ákos</t>
  </si>
  <si>
    <t>Gond Kármen</t>
  </si>
  <si>
    <t>Müller Ábel</t>
  </si>
  <si>
    <t>Jancsó Benedek</t>
  </si>
  <si>
    <t>Sipos József</t>
  </si>
  <si>
    <t>Ócsai Szaniszló</t>
  </si>
  <si>
    <t>Pákozdi Emma</t>
  </si>
  <si>
    <t>Svéd Fülöp</t>
  </si>
  <si>
    <t>Szabados Liza</t>
  </si>
  <si>
    <t>Bodó Péter</t>
  </si>
  <si>
    <t>Szerdahelyi Zoltán</t>
  </si>
  <si>
    <t>Mohos Mária</t>
  </si>
  <si>
    <t>Unger Krisztina</t>
  </si>
  <si>
    <t>Szendrei István</t>
  </si>
  <si>
    <t>Sági Zétény</t>
  </si>
  <si>
    <t>Káldor János</t>
  </si>
  <si>
    <t>Lugosi Györgyi</t>
  </si>
  <si>
    <t>Sólyom Ottó</t>
  </si>
  <si>
    <t>Selényi Herman</t>
  </si>
  <si>
    <t>Bene Adél</t>
  </si>
  <si>
    <t>Kovács Csilla</t>
  </si>
  <si>
    <t>Káplár Róbert</t>
  </si>
  <si>
    <t>Vajda Györgyi</t>
  </si>
  <si>
    <t>Kassai János</t>
  </si>
  <si>
    <t>Rákoczi Iván</t>
  </si>
  <si>
    <t>Várnai István</t>
  </si>
  <si>
    <t>Rényi Márkó</t>
  </si>
  <si>
    <t>Mácsai Éva</t>
  </si>
  <si>
    <t>Lengyel Judit</t>
  </si>
  <si>
    <t>Orosz Tünde</t>
  </si>
  <si>
    <t>Suba Terézia</t>
  </si>
  <si>
    <t>Siklósi Győző</t>
  </si>
  <si>
    <t>Kende Lili</t>
  </si>
  <si>
    <t>Mohos Simon</t>
  </si>
  <si>
    <t>Slezák Károly</t>
  </si>
  <si>
    <t>Szekeres Márkus</t>
  </si>
  <si>
    <t>Végh Gyöngyi</t>
  </si>
  <si>
    <t>Kontra Paula</t>
  </si>
  <si>
    <t>Berényi Alíz</t>
  </si>
  <si>
    <t>Bene Attila</t>
  </si>
  <si>
    <t>Pócsik Tekla</t>
  </si>
  <si>
    <t>Maróti Hédi</t>
  </si>
  <si>
    <t>Debreceni Kriszta</t>
  </si>
  <si>
    <t>Pető Mária</t>
  </si>
  <si>
    <t>Pálvölgyi Barbara</t>
  </si>
  <si>
    <t>Erdélyi Dániel</t>
  </si>
  <si>
    <t>Pázmány Gyula</t>
  </si>
  <si>
    <t>Deák Tamás</t>
  </si>
  <si>
    <t>Polgár Vanda</t>
  </si>
  <si>
    <t>Egyed Adalbert</t>
  </si>
  <si>
    <t>Keszler Elemér</t>
  </si>
  <si>
    <t>Sziráki Magdolna</t>
  </si>
  <si>
    <t>Cseke Gedeon</t>
  </si>
  <si>
    <t>Ligeti Csaba</t>
  </si>
  <si>
    <t>Hetényi Mária</t>
  </si>
  <si>
    <t>Mátyus Éva</t>
  </si>
  <si>
    <t>Erdélyi Flóra</t>
  </si>
  <si>
    <t>Palágyi Viktor</t>
  </si>
  <si>
    <t>Jámbor Szidónia</t>
  </si>
  <si>
    <t>Sarkadi Fanni</t>
  </si>
  <si>
    <t>Szegedi Kálmán</t>
  </si>
  <si>
    <t>Makai Virág</t>
  </si>
  <si>
    <t>Lengyel Katalin</t>
  </si>
  <si>
    <t>Gönci Elza</t>
  </si>
  <si>
    <t>Seres Emőd</t>
  </si>
  <si>
    <t>Csáki Győző</t>
  </si>
  <si>
    <t>Szappanos Olívia</t>
  </si>
  <si>
    <t>Bíró Miklós</t>
  </si>
  <si>
    <t>Eszes Szidónia</t>
  </si>
  <si>
    <t>Pollák Jácint</t>
  </si>
  <si>
    <t>Zágon Levente</t>
  </si>
  <si>
    <t>Eke Richárd</t>
  </si>
  <si>
    <t>Forgács Erik</t>
  </si>
  <si>
    <t>Béres Boglárka</t>
  </si>
  <si>
    <t>Szabados Szabrina</t>
  </si>
  <si>
    <t>Szigeti Evelin</t>
  </si>
  <si>
    <t>Prohaszka Kornél</t>
  </si>
  <si>
    <t>Kerepesi Huba</t>
  </si>
  <si>
    <t>Gosztonyi Vilmos</t>
  </si>
  <si>
    <t>Halmosi Evelin</t>
  </si>
  <si>
    <t>Földes Zsófia</t>
  </si>
  <si>
    <t>Kőműves Ármin</t>
  </si>
  <si>
    <t>Stadler Edvin</t>
  </si>
  <si>
    <t>Vári Zsigmond</t>
  </si>
  <si>
    <t>Fóti János</t>
  </si>
  <si>
    <t>Torda Ernő</t>
  </si>
  <si>
    <t>Takács Péter</t>
  </si>
  <si>
    <t>Pázmány Jónás</t>
  </si>
  <si>
    <t>Sötér Enikő</t>
  </si>
  <si>
    <t>Szanyi Olivér</t>
  </si>
  <si>
    <t>Koczka Péter</t>
  </si>
  <si>
    <t>Nemes Tiborc</t>
  </si>
  <si>
    <t>Császár Eszter</t>
  </si>
  <si>
    <t>Galla Taksony</t>
  </si>
  <si>
    <t>Mocsári Tünde</t>
  </si>
  <si>
    <t>Enyedi Franciska</t>
  </si>
  <si>
    <t>Morvai Bernát</t>
  </si>
  <si>
    <t>Sas Ilka</t>
  </si>
  <si>
    <t>Kosztolányi Vencel</t>
  </si>
  <si>
    <t>Pados Arnold</t>
  </si>
  <si>
    <t>Almási Antal</t>
  </si>
  <si>
    <t>Pomázi Lóránt</t>
  </si>
  <si>
    <t>Dóczi Antónia</t>
  </si>
  <si>
    <t>Poór Bíborka</t>
  </si>
  <si>
    <t>Abonyi Szilveszter</t>
  </si>
  <si>
    <t>Petényi Barna</t>
  </si>
  <si>
    <t>Dózsa Szervác</t>
  </si>
  <si>
    <t>Cseh Tekla</t>
  </si>
  <si>
    <t>Kassai Bódog</t>
  </si>
  <si>
    <t>Szemes Viktória</t>
  </si>
  <si>
    <t>Parti Edina</t>
  </si>
  <si>
    <t>Dóczi Márk</t>
  </si>
  <si>
    <t>Orosz Szaniszló</t>
  </si>
  <si>
    <t>Süle Roland</t>
  </si>
  <si>
    <t>Sitkei Tivadar</t>
  </si>
  <si>
    <t>Jelinek Ferenc</t>
  </si>
  <si>
    <t>Kárpáti Gerda</t>
  </si>
  <si>
    <t>Pelle Amanda</t>
  </si>
  <si>
    <t>Csorba Jakab</t>
  </si>
  <si>
    <t>Sápi Péter</t>
  </si>
  <si>
    <t>Jancsó Levente</t>
  </si>
  <si>
    <t>Parádi Judit</t>
  </si>
  <si>
    <t>Mester Ferenc</t>
  </si>
  <si>
    <t>Fazekas Amália</t>
  </si>
  <si>
    <t>Kertes Szervác</t>
  </si>
  <si>
    <t>Frank Jolán</t>
  </si>
  <si>
    <t>Cigány Zsófia</t>
  </si>
  <si>
    <t>Seres Virág</t>
  </si>
  <si>
    <t>Pete Zsigmond</t>
  </si>
  <si>
    <t>Huszák Adél</t>
  </si>
  <si>
    <t>Cseh Ignác</t>
  </si>
  <si>
    <t>Jankovics Dénes</t>
  </si>
  <si>
    <t>Táborosi Gabriella</t>
  </si>
  <si>
    <t>Halmosi Antal</t>
  </si>
  <si>
    <t>Komáromi Rózsa</t>
  </si>
  <si>
    <t>Almási Kelemen</t>
  </si>
  <si>
    <t>Faludi Olívia</t>
  </si>
  <si>
    <t>Virág Ede</t>
  </si>
  <si>
    <t>Nyerges Szabrina</t>
  </si>
  <si>
    <t>Poór Arnold</t>
  </si>
  <si>
    <t>Kontra Bódog</t>
  </si>
  <si>
    <t>Reményi Örs</t>
  </si>
  <si>
    <t>Pesti Vilma</t>
  </si>
  <si>
    <t>Keszler Flóra</t>
  </si>
  <si>
    <t>Kormos Evelin</t>
  </si>
  <si>
    <t>Füleki Szaniszló</t>
  </si>
  <si>
    <t>Erdei Ádám</t>
  </si>
  <si>
    <t>Győri Domonkos</t>
  </si>
  <si>
    <t>Bihari Hajna</t>
  </si>
  <si>
    <t>Madarász Árpád</t>
  </si>
  <si>
    <t>Martos Teréz</t>
  </si>
  <si>
    <t>Várszegi Annamária</t>
  </si>
  <si>
    <t>Szabó Medárd</t>
  </si>
  <si>
    <t>Gönci György</t>
  </si>
  <si>
    <t>Novák Júlia</t>
  </si>
  <si>
    <t>Sóti Arika</t>
  </si>
  <si>
    <t>Nagy Simon</t>
  </si>
  <si>
    <t>Rádi Adrienn</t>
  </si>
  <si>
    <t>Éles Botond</t>
  </si>
  <si>
    <t>Sárkány Viktor</t>
  </si>
  <si>
    <t>Szántó Ábel</t>
  </si>
  <si>
    <t>Engi Bonifác</t>
  </si>
  <si>
    <t>Kőszegi Endre</t>
  </si>
  <si>
    <t>Bacsó Ádám</t>
  </si>
  <si>
    <t>Boros Kornélia</t>
  </si>
  <si>
    <t>Murányi Katalin</t>
  </si>
  <si>
    <t>Hatvani Jusztin</t>
  </si>
  <si>
    <t>Krizsán Hilda</t>
  </si>
  <si>
    <t>Ráth Szervác</t>
  </si>
  <si>
    <t>Rostás Tamás</t>
  </si>
  <si>
    <t>Harmat Lívia</t>
  </si>
  <si>
    <t>Farkas Lőrinc</t>
  </si>
  <si>
    <t>Csontos Elvira</t>
  </si>
  <si>
    <t>Pongó József</t>
  </si>
  <si>
    <t>Polyák Teréz</t>
  </si>
  <si>
    <t>Csáki Máté</t>
  </si>
  <si>
    <t>Földvári Csilla</t>
  </si>
  <si>
    <t>Sötér Ervin</t>
  </si>
  <si>
    <t>Molnár Noémi</t>
  </si>
  <si>
    <t>Répási Tamás</t>
  </si>
  <si>
    <t>Makai Csaba</t>
  </si>
  <si>
    <t>Pandúr Tivadar</t>
  </si>
  <si>
    <t>Révész Kinga</t>
  </si>
  <si>
    <t>Hanák Simon</t>
  </si>
  <si>
    <t>Sényi Gabriella</t>
  </si>
  <si>
    <t>Petrovics Andrea</t>
  </si>
  <si>
    <t>Hanák Amanda</t>
  </si>
  <si>
    <t>Tasnádi Győző</t>
  </si>
  <si>
    <t>Pákozdi Réka</t>
  </si>
  <si>
    <t>Patkós Csilla</t>
  </si>
  <si>
    <t>Dobai Zsuzsanna</t>
  </si>
  <si>
    <t>Pomázi Amanda</t>
  </si>
  <si>
    <t>Müller Krisztián</t>
  </si>
  <si>
    <t>Szemes Kornél</t>
  </si>
  <si>
    <t>Tárnok Heléna</t>
  </si>
  <si>
    <t>Pécsi Berta</t>
  </si>
  <si>
    <t>Jankovics Kármen</t>
  </si>
  <si>
    <t>Kormos Titusz</t>
  </si>
  <si>
    <t>Simó Edina</t>
  </si>
  <si>
    <t>Kun Dóra</t>
  </si>
  <si>
    <t>Kulcsár Jakab</t>
  </si>
  <si>
    <t>Lengyel Klára</t>
  </si>
  <si>
    <t>Szekeres Tivadar</t>
  </si>
  <si>
    <t>Zeke Arany</t>
  </si>
  <si>
    <t>Mohácsi Ede</t>
  </si>
  <si>
    <t>Tihanyi Győző</t>
  </si>
  <si>
    <t>Béres Ádám</t>
  </si>
  <si>
    <t>Zala Gizella</t>
  </si>
  <si>
    <t>Lakatos Ottó</t>
  </si>
  <si>
    <t>Somogyvári József</t>
  </si>
  <si>
    <t>Gémes Vilma</t>
  </si>
  <si>
    <t>Árva Kornél</t>
  </si>
  <si>
    <t>Szabó Ida</t>
  </si>
  <si>
    <t>Somogyi Kármen</t>
  </si>
  <si>
    <t>Kökény Csaba</t>
  </si>
  <si>
    <t>Bihari Szabrina</t>
  </si>
  <si>
    <t>Ocskó Liza</t>
  </si>
  <si>
    <t>Radnóti Kármen</t>
  </si>
  <si>
    <t>Pap Edvin</t>
  </si>
  <si>
    <t>Kosztolányi Edina</t>
  </si>
  <si>
    <t>Solymár Erik</t>
  </si>
  <si>
    <t>Ladányi Gáspár</t>
  </si>
  <si>
    <t>Kökény Kelemen</t>
  </si>
  <si>
    <t>Pető Pongrác</t>
  </si>
  <si>
    <t>Pomázi Ábrahám</t>
  </si>
  <si>
    <t>Tar Áron</t>
  </si>
  <si>
    <t>Sóti Szaniszló</t>
  </si>
  <si>
    <t>Gönci Gáspár</t>
  </si>
  <si>
    <t>Komlósi Antónia</t>
  </si>
  <si>
    <t>Sényi Kornél</t>
  </si>
  <si>
    <t>Dombi Szabina</t>
  </si>
  <si>
    <t>Réti Csongor</t>
  </si>
  <si>
    <t>Angyal Barnabás</t>
  </si>
  <si>
    <t>Pomázi Hédi</t>
  </si>
  <si>
    <t>Harmat Lőrinc</t>
  </si>
  <si>
    <t>Dózsa Ábrahám</t>
  </si>
  <si>
    <t>Pusztai Katalin</t>
  </si>
  <si>
    <t>Virág Nelli</t>
  </si>
  <si>
    <t>Prohaszka Tamás</t>
  </si>
  <si>
    <t>Kútvölgyi Valéria</t>
  </si>
  <si>
    <t>Vajda Renáta</t>
  </si>
  <si>
    <t>Dallos Violetta</t>
  </si>
  <si>
    <t>Tasnádi József</t>
  </si>
  <si>
    <t>Pölöskei Ákos</t>
  </si>
  <si>
    <t>Kovács Adorján</t>
  </si>
  <si>
    <t>Szalkai Mónika</t>
  </si>
  <si>
    <t>Kurucz Nóra</t>
  </si>
  <si>
    <t>Pócsik Vince</t>
  </si>
  <si>
    <t>Csergő Júlia</t>
  </si>
  <si>
    <t>Ormai Alíz</t>
  </si>
  <si>
    <t>Gémes Jácint</t>
  </si>
  <si>
    <t>Pázmány Vince</t>
  </si>
  <si>
    <t>Róka Szilárd</t>
  </si>
  <si>
    <t>Müller Irén</t>
  </si>
  <si>
    <t>Krizsán Szabolcs</t>
  </si>
  <si>
    <t>Soproni Móricz</t>
  </si>
  <si>
    <t>Blaskó Erika</t>
  </si>
  <si>
    <t>Paál Szervác</t>
  </si>
  <si>
    <t>Pék Patrícia</t>
  </si>
  <si>
    <t>Füleki Adorján</t>
  </si>
  <si>
    <t>Korpás Pál</t>
  </si>
  <si>
    <t>Kocsis Fülöp</t>
  </si>
  <si>
    <t>Rózsahegyi Szidónia</t>
  </si>
  <si>
    <t>Nádor Paulina</t>
  </si>
  <si>
    <t>Surányi Brigitta</t>
  </si>
  <si>
    <t>Burján Gáspár</t>
  </si>
  <si>
    <t>Hegyi Éva</t>
  </si>
  <si>
    <t>Czakó Gerzson</t>
  </si>
  <si>
    <t>Révész Vera</t>
  </si>
  <si>
    <t>Fonyódi Gedeon</t>
  </si>
  <si>
    <t>Somfai Gitta</t>
  </si>
  <si>
    <t>Sári Hédi</t>
  </si>
  <si>
    <t>Jancsó Bendegúz</t>
  </si>
  <si>
    <t>Koncz Viola</t>
  </si>
  <si>
    <t>Pozsgai Mihály</t>
  </si>
  <si>
    <t>Sziva Angéla</t>
  </si>
  <si>
    <t>Somoskövi Martina</t>
  </si>
  <si>
    <t>Sós Margit</t>
  </si>
  <si>
    <t>Dévényi András</t>
  </si>
  <si>
    <t>Bihari András</t>
  </si>
  <si>
    <t>Zeke Frigyes</t>
  </si>
  <si>
    <t>Lánczi Gedeon</t>
  </si>
  <si>
    <t>Szalontai Rita</t>
  </si>
  <si>
    <t>Perlaki Márkó</t>
  </si>
  <si>
    <t>Dudás Vilma</t>
  </si>
  <si>
    <t>Lantos Gusztáv</t>
  </si>
  <si>
    <t>Hidvégi Konrád</t>
  </si>
  <si>
    <t>Hamar Jácint</t>
  </si>
  <si>
    <t>Kovács Móricz</t>
  </si>
  <si>
    <t>Holló Elek</t>
  </si>
  <si>
    <t>Pető Emil</t>
  </si>
  <si>
    <t>Bene Jácint</t>
  </si>
  <si>
    <t>Karsai Ede</t>
  </si>
  <si>
    <t>Cseke Jusztin</t>
  </si>
  <si>
    <t>Perger Csenge</t>
  </si>
  <si>
    <t>Nádasi Tamara</t>
  </si>
  <si>
    <t>Lendvai Emil</t>
  </si>
  <si>
    <t>Ács Ede</t>
  </si>
  <si>
    <t>Karácsony Júlia</t>
  </si>
  <si>
    <t>Szekeres Lénárd</t>
  </si>
  <si>
    <t>Bene Renáta</t>
  </si>
  <si>
    <t>Kerepesi Lajos</t>
  </si>
  <si>
    <t>Fóti György</t>
  </si>
  <si>
    <t>Berkes Zsigmond</t>
  </si>
  <si>
    <t>Bacsó Gergő</t>
  </si>
  <si>
    <t>Engi Tivadar</t>
  </si>
  <si>
    <t>Tóth Barna</t>
  </si>
  <si>
    <t>Somlai Bulcsú</t>
  </si>
  <si>
    <t>Füleki Gerzson</t>
  </si>
  <si>
    <t>Király Donát</t>
  </si>
  <si>
    <t>Sárosi Ede</t>
  </si>
  <si>
    <t>Szerencsés Márkó</t>
  </si>
  <si>
    <t>Egervári Jakab</t>
  </si>
  <si>
    <t>Kontra Ferenc</t>
  </si>
  <si>
    <t>Ráth Elek</t>
  </si>
  <si>
    <t>Komáromi Róza</t>
  </si>
  <si>
    <t>Rajnai Patrícia</t>
  </si>
  <si>
    <t>Székely Matild</t>
  </si>
  <si>
    <t>Méhes Adorján</t>
  </si>
  <si>
    <t>Sziráki Nelli</t>
  </si>
  <si>
    <t>Mocsári Martina</t>
  </si>
  <si>
    <t>Piros Boglár</t>
  </si>
  <si>
    <t>Krizsán Ágota</t>
  </si>
  <si>
    <t>Rozsnyai Gellért</t>
  </si>
  <si>
    <t>Róka Veronika</t>
  </si>
  <si>
    <t>Fenyvesi Judit</t>
  </si>
  <si>
    <t>Váradi Mária</t>
  </si>
  <si>
    <t>Polányi Olívia</t>
  </si>
  <si>
    <t>Szántó Andor</t>
  </si>
  <si>
    <t>Forrai Hajnalka</t>
  </si>
  <si>
    <t>Pandúr Brigitta</t>
  </si>
  <si>
    <t>Kőszegi Veronika</t>
  </si>
  <si>
    <t>Fehér Ágnes</t>
  </si>
  <si>
    <t>Pákozdi Gusztáv</t>
  </si>
  <si>
    <t>Szőnyi Gerda</t>
  </si>
  <si>
    <t>Füleki Ábrahám</t>
  </si>
  <si>
    <t>Pados Ferenc</t>
  </si>
  <si>
    <t>Pálfi Vilmos</t>
  </si>
  <si>
    <t>Deák László</t>
  </si>
  <si>
    <t>Medve Olivér</t>
  </si>
  <si>
    <t>Kállai Melinda</t>
  </si>
  <si>
    <t>Pálinkás Tamás</t>
  </si>
  <si>
    <t>Vágó Jeromos</t>
  </si>
  <si>
    <t>Répási Ágoston</t>
  </si>
  <si>
    <t>Bihari Martina</t>
  </si>
  <si>
    <t>Rádi Herman</t>
  </si>
  <si>
    <t>Solymár Csenger</t>
  </si>
  <si>
    <t>Várnai Vanda</t>
  </si>
  <si>
    <t>Vajda Miklós</t>
  </si>
  <si>
    <t>Kopácsi Ágota</t>
  </si>
  <si>
    <t>Nemes Pálma</t>
  </si>
  <si>
    <t>Temesi Dávid</t>
  </si>
  <si>
    <t>Sánta Hajnalka</t>
  </si>
  <si>
    <t>Szepesi Mihály</t>
  </si>
  <si>
    <t>Paál Endre</t>
  </si>
  <si>
    <t>Garami Ilka</t>
  </si>
  <si>
    <t>Raffai Ilka</t>
  </si>
  <si>
    <t>Zala Antal</t>
  </si>
  <si>
    <t>Czifra Mózes</t>
  </si>
  <si>
    <t>Kuti Gitta</t>
  </si>
  <si>
    <t>Bíró Petra</t>
  </si>
  <si>
    <t>Mátrai Tilda</t>
  </si>
  <si>
    <t>Béres Szabrina</t>
  </si>
  <si>
    <t>Hatvani Enikő</t>
  </si>
  <si>
    <t>Dombi Balázs</t>
  </si>
  <si>
    <t>Krizsán Gerzson</t>
  </si>
  <si>
    <t>Jelinek Zétény</t>
  </si>
  <si>
    <t>Szepesi Bálint</t>
  </si>
  <si>
    <t>Bakonyi Hunor</t>
  </si>
  <si>
    <t>Pete Linda</t>
  </si>
  <si>
    <t>Debreceni Jolán</t>
  </si>
  <si>
    <t>Lázár Ildikó</t>
  </si>
  <si>
    <t>Pajor Bódog</t>
  </si>
  <si>
    <t>Rákosi Kristóf</t>
  </si>
  <si>
    <t>Bagi Klára</t>
  </si>
  <si>
    <t>Székely Pál</t>
  </si>
  <si>
    <t>Sáfrány Dóra</t>
  </si>
  <si>
    <t>Siklósi Rita</t>
  </si>
  <si>
    <t>Német Jónás</t>
  </si>
  <si>
    <t>Havas Natália</t>
  </si>
  <si>
    <t>Pálinkás Medárd</t>
  </si>
  <si>
    <t>Rédei Andor</t>
  </si>
  <si>
    <t>Bacsó Levente</t>
  </si>
  <si>
    <t>Ravasz Móricz</t>
  </si>
  <si>
    <t>Szarka Lajos</t>
  </si>
  <si>
    <t>Deák Pálma</t>
  </si>
  <si>
    <t>Egyed Heléna</t>
  </si>
  <si>
    <t>Kozák Félix</t>
  </si>
  <si>
    <t>Péli Fábián</t>
  </si>
  <si>
    <t>Lakatos Gál</t>
  </si>
  <si>
    <t>Csáki Levente</t>
  </si>
  <si>
    <t>Seres Izolda</t>
  </si>
  <si>
    <t>Szalkai Taksony</t>
  </si>
  <si>
    <t>Liptai Miléna</t>
  </si>
  <si>
    <t>Dóka János</t>
  </si>
  <si>
    <t>Szakál Ágoston</t>
  </si>
  <si>
    <t>Mátrai Krisztina</t>
  </si>
  <si>
    <t>Soproni Emőke</t>
  </si>
  <si>
    <t>Hamza Zsigmond</t>
  </si>
  <si>
    <t>Szegő Krisztina</t>
  </si>
  <si>
    <t>Zala Barbara</t>
  </si>
  <si>
    <t>Szegő Hilda</t>
  </si>
  <si>
    <t>Soltész Irén</t>
  </si>
  <si>
    <t>Angyal Géza</t>
  </si>
  <si>
    <t>Roboz Albert</t>
  </si>
  <si>
    <t>Egerszegi Árpád</t>
  </si>
  <si>
    <t>Koczka Pál</t>
  </si>
  <si>
    <t>Hajdú Anikó</t>
  </si>
  <si>
    <t>Kútvölgyi Edit</t>
  </si>
  <si>
    <t>Perjés Taksony</t>
  </si>
  <si>
    <t>Ódor Jolán</t>
  </si>
  <si>
    <t>Orosz Valentin</t>
  </si>
  <si>
    <t>Kállai Rudolf</t>
  </si>
  <si>
    <t>Végh Elek</t>
  </si>
  <si>
    <t>Szász Miklós</t>
  </si>
  <si>
    <t>Majoros Melinda</t>
  </si>
  <si>
    <t>Gulyás Ágota</t>
  </si>
  <si>
    <t>Rádai János</t>
  </si>
  <si>
    <t>Pócsik Fanni</t>
  </si>
  <si>
    <t>Bene Mária</t>
  </si>
  <si>
    <t>Pósa Ivó</t>
  </si>
  <si>
    <t>Piller Magdolna</t>
  </si>
  <si>
    <t>Müller Flóra</t>
  </si>
  <si>
    <t>Serföző Taksony</t>
  </si>
  <si>
    <t>Kormos Simon</t>
  </si>
  <si>
    <t>Vörös Gusztáv</t>
  </si>
  <si>
    <t>Olajos Elemér</t>
  </si>
  <si>
    <t>Török Emil</t>
  </si>
  <si>
    <t>Somos Vajk</t>
  </si>
  <si>
    <t>Mészáros Balázs</t>
  </si>
  <si>
    <t>Gerencsér Györgyi</t>
  </si>
  <si>
    <t>Táborosi Piroska</t>
  </si>
  <si>
    <t>Kállai Viktor</t>
  </si>
  <si>
    <t>Fonyódi Elvira</t>
  </si>
  <si>
    <t>Kertész Gyöngyi</t>
  </si>
  <si>
    <t>Erdélyi Andor</t>
  </si>
  <si>
    <t>Asztalos Andor</t>
  </si>
  <si>
    <t>Hidvégi Barbara</t>
  </si>
  <si>
    <t>Siklósi Lenke</t>
  </si>
  <si>
    <t>Péli Franciska</t>
  </si>
  <si>
    <t>Barta Hajnalka</t>
  </si>
  <si>
    <t>Rozsnyai Margit</t>
  </si>
  <si>
    <t>Sipos Galina</t>
  </si>
  <si>
    <t>Sárkány Teréz</t>
  </si>
  <si>
    <t>Róka Emma</t>
  </si>
  <si>
    <t>Cseke Stefánia</t>
  </si>
  <si>
    <t>Erdei Rózsa</t>
  </si>
  <si>
    <t>Pálfi Mária</t>
  </si>
  <si>
    <t>Váradi Boldizsár</t>
  </si>
  <si>
    <t>Bánki Paula</t>
  </si>
  <si>
    <t>Kerekes Boldizsár</t>
  </si>
  <si>
    <t>Szolnoki Gerda</t>
  </si>
  <si>
    <t>Asztalos Kármen</t>
  </si>
  <si>
    <t>Pálfi Enikő</t>
  </si>
  <si>
    <t>Halmosi Gitta</t>
  </si>
  <si>
    <t>Kökény Éva</t>
  </si>
  <si>
    <t>Bán Boglárka</t>
  </si>
  <si>
    <t>Réti Péter</t>
  </si>
  <si>
    <t>Soltész Ildikó</t>
  </si>
  <si>
    <t>Gál Pálma</t>
  </si>
  <si>
    <t>Nógrádi Gáspár</t>
  </si>
  <si>
    <t>Hajnal Mátyás</t>
  </si>
  <si>
    <t>Alföldi István</t>
  </si>
  <si>
    <t>Selmeci Rozália</t>
  </si>
  <si>
    <t>Dorogi Terézia</t>
  </si>
  <si>
    <t>Sényi Jácint</t>
  </si>
  <si>
    <t>Vajda Gergő</t>
  </si>
  <si>
    <t>Hatvani Vince</t>
  </si>
  <si>
    <t>Bakos Lóránt</t>
  </si>
  <si>
    <t>Parti Antal</t>
  </si>
  <si>
    <t>Bakonyi Ákos</t>
  </si>
  <si>
    <t>Szegő Lídia</t>
  </si>
  <si>
    <t>Karsai Ibolya</t>
  </si>
  <si>
    <t>Szántó Zsóka</t>
  </si>
  <si>
    <t>Szendrő Ádám</t>
  </si>
  <si>
    <t>Hidvégi Győző</t>
  </si>
  <si>
    <t>Lázár Katalin</t>
  </si>
  <si>
    <t>Szalkai Hédi</t>
  </si>
  <si>
    <t>Farkas Richárd</t>
  </si>
  <si>
    <t>Huszka Szabrina</t>
  </si>
  <si>
    <t>Cseke Katalin</t>
  </si>
  <si>
    <t>Jankovics György</t>
  </si>
  <si>
    <t>Lantos Enikő</t>
  </si>
  <si>
    <t>Puskás Zsuzsanna</t>
  </si>
  <si>
    <t>Radnóti Ervin</t>
  </si>
  <si>
    <t>Csernus Fanni</t>
  </si>
  <si>
    <t>Vári Kármen</t>
  </si>
  <si>
    <t>Bakonyi Antal</t>
  </si>
  <si>
    <t>Mester Izolda</t>
  </si>
  <si>
    <t>Sas Gergely</t>
  </si>
  <si>
    <t>Hajdú Linda</t>
  </si>
  <si>
    <t>Morvai Ábel</t>
  </si>
  <si>
    <t>Kubinyi Simon</t>
  </si>
  <si>
    <t>Sas Elvira</t>
  </si>
  <si>
    <t>Csordás Gerda</t>
  </si>
  <si>
    <t>Sós Ferenc</t>
  </si>
  <si>
    <t>Bacsó Simon</t>
  </si>
  <si>
    <t>Huszák Mihály</t>
  </si>
  <si>
    <t>Aradi Zsófia</t>
  </si>
  <si>
    <t>Halmosi Csilla</t>
  </si>
  <si>
    <t>Paál Tibor</t>
  </si>
  <si>
    <t>Gulyás Tihamér</t>
  </si>
  <si>
    <t>Dorogi Katalin</t>
  </si>
  <si>
    <t>Szarka Lujza</t>
  </si>
  <si>
    <t>Keszthelyi Noémi</t>
  </si>
  <si>
    <t>Szoboszlai Frigyes</t>
  </si>
  <si>
    <t>Takács Huba</t>
  </si>
  <si>
    <t>Fenyvesi Boglár</t>
  </si>
  <si>
    <t>Burján Máté</t>
  </si>
  <si>
    <t>Földes Viola</t>
  </si>
  <si>
    <t>Kállai Krisztina</t>
  </si>
  <si>
    <t>Huszák Szilárd</t>
  </si>
  <si>
    <t>Süle Beatrix</t>
  </si>
  <si>
    <t>Molnár Kristóf</t>
  </si>
  <si>
    <t>Sarkadi Kristóf</t>
  </si>
  <si>
    <t>Mikó Hugó</t>
  </si>
  <si>
    <t>Kemény Huba</t>
  </si>
  <si>
    <t>Somfai Kálmán</t>
  </si>
  <si>
    <t>Bene Dénes</t>
  </si>
  <si>
    <t>Mátyus Hedvig</t>
  </si>
  <si>
    <t>Virág Márkó</t>
  </si>
  <si>
    <t>Perényi Dóra</t>
  </si>
  <si>
    <t>Czakó Barnabás</t>
  </si>
  <si>
    <t>Szebeni Vilma</t>
  </si>
  <si>
    <t>Engi Erik</t>
  </si>
  <si>
    <t>Kerekes Ágoston</t>
  </si>
  <si>
    <t>Szamosi Zsóka</t>
  </si>
  <si>
    <t>Várszegi Jakab</t>
  </si>
  <si>
    <t>Sitkei Jakab</t>
  </si>
  <si>
    <t>Kalmár Emma</t>
  </si>
  <si>
    <t>Szalkai Elek</t>
  </si>
  <si>
    <t>Hamar Gedeon</t>
  </si>
  <si>
    <t>Szalontai Dániel</t>
  </si>
  <si>
    <t>Keresztes Emil</t>
  </si>
  <si>
    <t>Dóczi Izolda</t>
  </si>
  <si>
    <t>Pataki Borbála</t>
  </si>
  <si>
    <t>Fenyvesi Hermina</t>
  </si>
  <si>
    <t>Pusztai Gitta</t>
  </si>
  <si>
    <t>Kamarás Huba</t>
  </si>
  <si>
    <t>Perlaki Beatrix</t>
  </si>
  <si>
    <t>Sényi Edina</t>
  </si>
  <si>
    <t>Rudas Domonkos</t>
  </si>
  <si>
    <t>Szekeres Tamás</t>
  </si>
  <si>
    <t>Polyák Viktor</t>
  </si>
  <si>
    <t>Német Virág</t>
  </si>
  <si>
    <t>Szalai Tünde</t>
  </si>
  <si>
    <t>Jurányi Zsóka</t>
  </si>
  <si>
    <t>Szanyi Lőrinc</t>
  </si>
  <si>
    <t>Csiszár Irén</t>
  </si>
  <si>
    <t>Sziva Huba</t>
  </si>
  <si>
    <t>Pados Boglár</t>
  </si>
  <si>
    <t>Toldi Rezső</t>
  </si>
  <si>
    <t>Radnóti Kornél</t>
  </si>
  <si>
    <t>Kerti Marietta</t>
  </si>
  <si>
    <t>Kerti Izabella</t>
  </si>
  <si>
    <t>Rudas Zsófia</t>
  </si>
  <si>
    <t>Pető Martina</t>
  </si>
  <si>
    <t>Orosz Tódor</t>
  </si>
  <si>
    <t>Polgár István</t>
  </si>
  <si>
    <t>Sárkány István</t>
  </si>
  <si>
    <t>Karácsony Orbán</t>
  </si>
  <si>
    <t>Dóka Gergő</t>
  </si>
  <si>
    <t>Pálinkás Ferenc</t>
  </si>
  <si>
    <t>Reményi Rózsa</t>
  </si>
  <si>
    <t>Szerdahelyi Edgár</t>
  </si>
  <si>
    <t>Lakos Emőke</t>
  </si>
  <si>
    <t>Romhányi Bátor</t>
  </si>
  <si>
    <t>Jámbor Antónia</t>
  </si>
  <si>
    <t>Országh Andor</t>
  </si>
  <si>
    <t>Kulcsár Elek</t>
  </si>
  <si>
    <t>Palágyi Nóra</t>
  </si>
  <si>
    <t>Egervári Tamás</t>
  </si>
  <si>
    <t>Zágon Gyöngyi</t>
  </si>
  <si>
    <t>Mocsári Aladár</t>
  </si>
  <si>
    <t>Szelei Géza</t>
  </si>
  <si>
    <t>Sári Jusztin</t>
  </si>
  <si>
    <t>Árva Zsombor</t>
  </si>
  <si>
    <t>Csányi Vajk</t>
  </si>
  <si>
    <t>Várnai Tekla</t>
  </si>
  <si>
    <t>Egyed Gáspár</t>
  </si>
  <si>
    <t>Kertész Hajna</t>
  </si>
  <si>
    <t>Lugosi Fanni</t>
  </si>
  <si>
    <t>Boros Ferenc</t>
  </si>
  <si>
    <t>Osváth Mihály</t>
  </si>
  <si>
    <t>Csontos Réka</t>
  </si>
  <si>
    <t>Maróti Anikó</t>
  </si>
  <si>
    <t>Bagi Edgár</t>
  </si>
  <si>
    <t>Forrai Judit</t>
  </si>
  <si>
    <t>Szatmári Kinga</t>
  </si>
  <si>
    <t>Jenei Sebestény</t>
  </si>
  <si>
    <t>Megyeri Tivadar</t>
  </si>
  <si>
    <t>Deák Özséb</t>
  </si>
  <si>
    <t>Rózsahegyi Nelli</t>
  </si>
  <si>
    <t>Szűcs Melinda</t>
  </si>
  <si>
    <t>Rádai Kristóf</t>
  </si>
  <si>
    <t>Szántai Máté</t>
  </si>
  <si>
    <t>Székely Franciska</t>
  </si>
  <si>
    <t>Pongó György</t>
  </si>
  <si>
    <t>Lantos Lívia</t>
  </si>
  <si>
    <t>Megyesi Katalin</t>
  </si>
  <si>
    <t>Goda Evelin</t>
  </si>
  <si>
    <t>Bakos Taksony</t>
  </si>
  <si>
    <t>Baranyai Menyhért</t>
  </si>
  <si>
    <t>Szántó Szidónia</t>
  </si>
  <si>
    <t>Szerencsés Szabolcs</t>
  </si>
  <si>
    <t>Deák Fábián</t>
  </si>
  <si>
    <t>Szemes Jácint</t>
  </si>
  <si>
    <t>Fonyódi Csilla</t>
  </si>
  <si>
    <t>Dorogi Dezső</t>
  </si>
  <si>
    <t>Deák Kornélia</t>
  </si>
  <si>
    <t>Siklósi Piroska</t>
  </si>
  <si>
    <t>Rigó Bíborka</t>
  </si>
  <si>
    <t>Beke Krisztián</t>
  </si>
  <si>
    <t>Czakó Attila</t>
  </si>
  <si>
    <t>Hegyi Zsombor</t>
  </si>
  <si>
    <t>Eszes Olimpia</t>
  </si>
  <si>
    <t>Sátori Ambrus</t>
  </si>
  <si>
    <t>Szűcs Kristóf</t>
  </si>
  <si>
    <t>Jámbor Áron</t>
  </si>
  <si>
    <t>Nyári Bálint</t>
  </si>
  <si>
    <t>Káldor Elek</t>
  </si>
  <si>
    <t>Fényes Pál</t>
  </si>
  <si>
    <t>Béres Irma</t>
  </si>
  <si>
    <t>Csernus Edvin</t>
  </si>
  <si>
    <t>Mikó Rudolf</t>
  </si>
  <si>
    <t>Pandúr Edina</t>
  </si>
  <si>
    <t>Surányi Taksony</t>
  </si>
  <si>
    <t>Rózsa Zsófia</t>
  </si>
  <si>
    <t>Magyar Nelli</t>
  </si>
  <si>
    <t>Slezák Zétény</t>
  </si>
  <si>
    <t>Farkas Ottó</t>
  </si>
  <si>
    <t>Bartos Krisztina</t>
  </si>
  <si>
    <t>Patkós Márton</t>
  </si>
  <si>
    <t>Rózsahegyi Vajk</t>
  </si>
  <si>
    <t>Harmat Margit</t>
  </si>
  <si>
    <t>Dévényi Marcell</t>
  </si>
  <si>
    <t>Szorád Piroska</t>
  </si>
  <si>
    <t>Gulyás Linda</t>
  </si>
  <si>
    <t>Vitéz Béla</t>
  </si>
  <si>
    <t>Kövér Gyöngyi</t>
  </si>
  <si>
    <t>Dévényi Zsigmond</t>
  </si>
  <si>
    <t>Méhes Klára</t>
  </si>
  <si>
    <t>Ravasz Jolán</t>
  </si>
  <si>
    <t>Puskás Tamás</t>
  </si>
  <si>
    <t>Sasvári Pál</t>
  </si>
  <si>
    <t>Rózsa Tihamér</t>
  </si>
  <si>
    <t>Tasnádi Noémi</t>
  </si>
  <si>
    <t>Kósa Zsolt</t>
  </si>
  <si>
    <t>Pomázi Márkus</t>
  </si>
  <si>
    <t>Gazdag Terézia</t>
  </si>
  <si>
    <t>Kalocsai Laura</t>
  </si>
  <si>
    <t>Keszthelyi Berta</t>
  </si>
  <si>
    <t>Angyal Natália</t>
  </si>
  <si>
    <t>Hajnal Irma</t>
  </si>
  <si>
    <t>Bene Valéria</t>
  </si>
  <si>
    <t>Zentai Lóránt</t>
  </si>
  <si>
    <t>Olajos Szilárd</t>
  </si>
  <si>
    <t>Erdei Dénes</t>
  </si>
  <si>
    <t>Kállai Gusztáv</t>
  </si>
  <si>
    <t>Pozsgai Edina</t>
  </si>
  <si>
    <t>Engi Csilla</t>
  </si>
  <si>
    <t>Huszár Vajk</t>
  </si>
  <si>
    <t>Medve Áron</t>
  </si>
  <si>
    <t>Szép Zsolt</t>
  </si>
  <si>
    <t>Pajor Borisz</t>
  </si>
  <si>
    <t>Fekete Tivadar</t>
  </si>
  <si>
    <t>Rideg Beáta</t>
  </si>
  <si>
    <t>Bajor Boriska</t>
  </si>
  <si>
    <t>Sötér Gertrúd</t>
  </si>
  <si>
    <t>Káplár Aladár</t>
  </si>
  <si>
    <t>Kozák István</t>
  </si>
  <si>
    <t>Lengyel András</t>
  </si>
  <si>
    <t>Bajor Ferenc</t>
  </si>
  <si>
    <t>Frank Marietta</t>
  </si>
  <si>
    <t>Egervári Pál</t>
  </si>
  <si>
    <t>Bartos Vanda</t>
  </si>
  <si>
    <t>Táborosi Boglárka</t>
  </si>
  <si>
    <t>Blaskó Olivér</t>
  </si>
  <si>
    <t>Sajó Jusztin</t>
  </si>
  <si>
    <t>Jámbor Ádám</t>
  </si>
  <si>
    <t>Gond Boriska</t>
  </si>
  <si>
    <t>Mátyus Mária</t>
  </si>
  <si>
    <t>Romhányi Boglárka</t>
  </si>
  <si>
    <t>Szász Rezső</t>
  </si>
  <si>
    <t>Jankovics Martina</t>
  </si>
  <si>
    <t>Forrai Emőke</t>
  </si>
  <si>
    <t>Sánta Helga</t>
  </si>
  <si>
    <t>Bertók Aladár</t>
  </si>
  <si>
    <t>Cseke Veronika</t>
  </si>
  <si>
    <t>Pataki Katalin</t>
  </si>
  <si>
    <t>Heller Helga</t>
  </si>
  <si>
    <t>Fenyvesi Emőd</t>
  </si>
  <si>
    <t>Kopácsi Annabella</t>
  </si>
  <si>
    <t>Fábián Antal</t>
  </si>
  <si>
    <t>Szakál Edgár</t>
  </si>
  <si>
    <t>Cseke Dénes</t>
  </si>
  <si>
    <t>Komáromi Mária</t>
  </si>
  <si>
    <t>Gond Annamária</t>
  </si>
  <si>
    <t>Koltai Bence</t>
  </si>
  <si>
    <t>Unger Jácint</t>
  </si>
  <si>
    <t>Sáfrány Klára</t>
  </si>
  <si>
    <t>Nyéki Árpád</t>
  </si>
  <si>
    <t>Erdei Lóránd</t>
  </si>
  <si>
    <t>Kende Pál</t>
  </si>
  <si>
    <t>Káldor Albert</t>
  </si>
  <si>
    <t>Karsai Gáspár</t>
  </si>
  <si>
    <t>Perlaki Máté</t>
  </si>
  <si>
    <t>Várszegi Szabina</t>
  </si>
  <si>
    <t>Füleki Tünde</t>
  </si>
  <si>
    <t>Szegő Luca</t>
  </si>
  <si>
    <t>Mohácsi Géza</t>
  </si>
  <si>
    <t>Piros Gergely</t>
  </si>
  <si>
    <t>Almási Márkus</t>
  </si>
  <si>
    <t>Bobák Edit</t>
  </si>
  <si>
    <t>Hajdú Vilmos</t>
  </si>
  <si>
    <t>Szakál Lili</t>
  </si>
  <si>
    <t>Rádi Andrea</t>
  </si>
  <si>
    <t>Köves Csongor</t>
  </si>
  <si>
    <t>Roboz Klára</t>
  </si>
  <si>
    <t>Frank István</t>
  </si>
  <si>
    <t>Havas Bulcsú</t>
  </si>
  <si>
    <t>Gulyás Kristóf</t>
  </si>
  <si>
    <t>Kőszegi Ervin</t>
  </si>
  <si>
    <t>Huszár Dezső</t>
  </si>
  <si>
    <t>Szente Lázár</t>
  </si>
  <si>
    <t>Jankovics Luca</t>
  </si>
  <si>
    <t>Halasi Natália</t>
  </si>
  <si>
    <t>Ocskó Lenke</t>
  </si>
  <si>
    <t>Hagymási Gusztáv</t>
  </si>
  <si>
    <t>Kósa Aladár</t>
  </si>
  <si>
    <t>Sebő Tihamér</t>
  </si>
  <si>
    <t>Burján Örs</t>
  </si>
  <si>
    <t>Perényi Elza</t>
  </si>
  <si>
    <t>Jobbágy Lóránd</t>
  </si>
  <si>
    <t>Oláh Gabriella</t>
  </si>
  <si>
    <t>Szabó Kitti</t>
  </si>
  <si>
    <t>Szerdahelyi Júlia</t>
  </si>
  <si>
    <t>Somos Paula</t>
  </si>
  <si>
    <t>Ladányi Gellért</t>
  </si>
  <si>
    <t>Radványi Ádám</t>
  </si>
  <si>
    <t>Veress Elvira</t>
  </si>
  <si>
    <t>Raffai Gál</t>
  </si>
  <si>
    <t>Ritter Edgár</t>
  </si>
  <si>
    <t>Répási Ilona</t>
  </si>
  <si>
    <t>Fekete Olimpia</t>
  </si>
  <si>
    <t>Nádasi Kinga</t>
  </si>
  <si>
    <t>Varga Árpád</t>
  </si>
  <si>
    <t>Ormai Paula</t>
  </si>
  <si>
    <t>Angyal Bence</t>
  </si>
  <si>
    <t>Karácsony Frigyes</t>
  </si>
  <si>
    <t>Vass Marianna</t>
  </si>
  <si>
    <t>Faludi Ida</t>
  </si>
  <si>
    <t>Jelinek Mihály</t>
  </si>
  <si>
    <t>Berkes Bulcsú</t>
  </si>
  <si>
    <t>Sényi Ibolya</t>
  </si>
  <si>
    <t>Vári Ambrus</t>
  </si>
  <si>
    <t>Szendrő Kitti</t>
  </si>
  <si>
    <t>Gyurkovics Szilvia</t>
  </si>
  <si>
    <t>Gerencsér Donát</t>
  </si>
  <si>
    <t>Pozsonyi Martina</t>
  </si>
  <si>
    <t>Pongó Szaniszló</t>
  </si>
  <si>
    <t>Somodi Lázár</t>
  </si>
  <si>
    <t>Rideg Lenke</t>
  </si>
  <si>
    <t>Szeberényi Gergely</t>
  </si>
  <si>
    <t>Hajnal Dénes</t>
  </si>
  <si>
    <t>Sényi Beáta</t>
  </si>
  <si>
    <t>Mezei Titusz</t>
  </si>
  <si>
    <t>Dóka Alíz</t>
  </si>
  <si>
    <t>Petrás Richárd</t>
  </si>
  <si>
    <t>Sápi Jolán</t>
  </si>
  <si>
    <t>Somfai Bernát</t>
  </si>
  <si>
    <t>Almási Enikő</t>
  </si>
  <si>
    <t>Mocsári Ferenc</t>
  </si>
  <si>
    <t>Medve Liza</t>
  </si>
  <si>
    <t>Szentgyörgyi Jenő</t>
  </si>
  <si>
    <t>Deák Hugó</t>
  </si>
  <si>
    <t>Fonyódi Dániel</t>
  </si>
  <si>
    <t>Sziráki Malvin</t>
  </si>
  <si>
    <t>Perlaki Ágnes</t>
  </si>
  <si>
    <t>Hidvégi Orbán</t>
  </si>
  <si>
    <t>Cigány Teréz</t>
  </si>
  <si>
    <t>Pollák Adrienn</t>
  </si>
  <si>
    <t>Szepesi Antal</t>
  </si>
  <si>
    <t>Szemes Ilona</t>
  </si>
  <si>
    <t>Dobai Gyöngyi</t>
  </si>
  <si>
    <t>Sós Titusz</t>
  </si>
  <si>
    <t>Székács Angéla</t>
  </si>
  <si>
    <t>Ráth Patrícia</t>
  </si>
  <si>
    <t>Fenyvesi Lili</t>
  </si>
  <si>
    <t>Szelei Klotild</t>
  </si>
  <si>
    <t>Madarász Kolos</t>
  </si>
  <si>
    <t>Somogyvári Felícia</t>
  </si>
  <si>
    <t>Sárvári Marcell</t>
  </si>
  <si>
    <t>Kútvölgyi Anita</t>
  </si>
  <si>
    <t>Dömötör Rózsa</t>
  </si>
  <si>
    <t>Lánczi Benedek</t>
  </si>
  <si>
    <t>Ráth Emma</t>
  </si>
  <si>
    <t>Perger Gergő</t>
  </si>
  <si>
    <t>Berkes Ferenc</t>
  </si>
  <si>
    <t>Dorogi Szervác</t>
  </si>
  <si>
    <t>Lengyel Réka</t>
  </si>
  <si>
    <t>Keleti Zoltán</t>
  </si>
  <si>
    <t>Horváth Arany</t>
  </si>
  <si>
    <t>Csiszár László</t>
  </si>
  <si>
    <t>Márkus Stefánia</t>
  </si>
  <si>
    <t>Somogyvári Lukács</t>
  </si>
  <si>
    <t>Kalmár Gyula</t>
  </si>
  <si>
    <t>Pomázi Orbán</t>
  </si>
  <si>
    <t>Sárvári Bendegúz</t>
  </si>
  <si>
    <t>Kormos Klotild</t>
  </si>
  <si>
    <t>Méhes Roland</t>
  </si>
  <si>
    <t>Sasvári Lilla</t>
  </si>
  <si>
    <t>Kulcsár Debóra</t>
  </si>
  <si>
    <t>Kis Gergő</t>
  </si>
  <si>
    <t>Kis Julianna</t>
  </si>
  <si>
    <t>Szalontai Pálma</t>
  </si>
  <si>
    <t>Hamza Ignác</t>
  </si>
  <si>
    <t>Várszegi Terézia</t>
  </si>
  <si>
    <t>Szilágyi Ibolya</t>
  </si>
  <si>
    <t>Szente Adalbert</t>
  </si>
  <si>
    <t>Ódor Alíz</t>
  </si>
  <si>
    <t>Egyed Elek</t>
  </si>
  <si>
    <t>Ujvári Mária</t>
  </si>
  <si>
    <t>Vitéz Aladár</t>
  </si>
  <si>
    <t>Valkó Csanád</t>
  </si>
  <si>
    <t>Szilágyi Barna</t>
  </si>
  <si>
    <t>Kónya Iván</t>
  </si>
  <si>
    <t>Fóti Gál</t>
  </si>
  <si>
    <t>Solymár Arnold</t>
  </si>
  <si>
    <t>Fitos Vazul</t>
  </si>
  <si>
    <t>Matos Gergely</t>
  </si>
  <si>
    <t>Jankovics Ábrahám</t>
  </si>
  <si>
    <t>Sas Szervác</t>
  </si>
  <si>
    <t>Deák Vendel</t>
  </si>
  <si>
    <t>Somogyvári Zsombor</t>
  </si>
  <si>
    <t>Petrányi Lázár</t>
  </si>
  <si>
    <t>Bakonyi Borbála</t>
  </si>
  <si>
    <t>Lengyel Zsuzsanna</t>
  </si>
  <si>
    <t>Kozák Flóra</t>
  </si>
  <si>
    <t>Cigány Márkó</t>
  </si>
  <si>
    <t>Lendvai Ivó</t>
  </si>
  <si>
    <t>Palágyi Péter</t>
  </si>
  <si>
    <t>Lendvai Miklós</t>
  </si>
  <si>
    <t>Morvai Rita</t>
  </si>
  <si>
    <t>Gerő Levente</t>
  </si>
  <si>
    <t>Frank Jeromos</t>
  </si>
  <si>
    <t>Selmeci Nóra</t>
  </si>
  <si>
    <t>Kis Botond</t>
  </si>
  <si>
    <t>Rózsavölgyi Mária</t>
  </si>
  <si>
    <t>Várszegi Ákos</t>
  </si>
  <si>
    <t>Molnár Vilma</t>
  </si>
  <si>
    <t>Vitéz Rozália</t>
  </si>
  <si>
    <t>Almási Elek</t>
  </si>
  <si>
    <t>Fitos Krisztián</t>
  </si>
  <si>
    <t>Hajdú Roland</t>
  </si>
  <si>
    <t>Engi Marcell</t>
  </si>
  <si>
    <t>Zala Elza</t>
  </si>
  <si>
    <t>Horváth Csilla</t>
  </si>
  <si>
    <t>Sebő Tamás</t>
  </si>
  <si>
    <t>Kónya Edit</t>
  </si>
  <si>
    <t>Váraljai Teréz</t>
  </si>
  <si>
    <t>Budai Győző</t>
  </si>
  <si>
    <t>Sitkei Anikó</t>
  </si>
  <si>
    <t>Pálfi Nelli</t>
  </si>
  <si>
    <t>Kövér Cecilia</t>
  </si>
  <si>
    <t>Kassai Elza</t>
  </si>
  <si>
    <t>Adorján Lujza</t>
  </si>
  <si>
    <t>Blaskó István</t>
  </si>
  <si>
    <t>Somoskövi Zsigmond</t>
  </si>
  <si>
    <t>Karsai Luca</t>
  </si>
  <si>
    <t>Székely Márta</t>
  </si>
  <si>
    <t>Fekete Hédi</t>
  </si>
  <si>
    <t>Kalmár Barbara</t>
  </si>
  <si>
    <t>Burján Tiborc</t>
  </si>
  <si>
    <t>Dudás Elemér</t>
  </si>
  <si>
    <t>Harmat Ivó</t>
  </si>
  <si>
    <t>Éles Ödön</t>
  </si>
  <si>
    <t>Piller Lídia</t>
  </si>
  <si>
    <t>Torda Ibolya</t>
  </si>
  <si>
    <t>Slezák Marcell</t>
  </si>
  <si>
    <t>Egervári Olívia</t>
  </si>
  <si>
    <t>Földes Ildikó</t>
  </si>
  <si>
    <t>Huszák Domonkos</t>
  </si>
  <si>
    <t>Szőllősi Farkas</t>
  </si>
  <si>
    <t>Szekeres Patrícia</t>
  </si>
  <si>
    <t>Bacsó Aladár</t>
  </si>
  <si>
    <t>Benkő Flóra</t>
  </si>
  <si>
    <t>Szász Debóra</t>
  </si>
  <si>
    <t>Baranyai Lajos</t>
  </si>
  <si>
    <t>Szirtes Pál</t>
  </si>
  <si>
    <t>Galla Sára</t>
  </si>
  <si>
    <t>Roboz Olívia</t>
  </si>
  <si>
    <t>Sági Hunor</t>
  </si>
  <si>
    <t>Kenyeres Lenke</t>
  </si>
  <si>
    <t>Perger Adalbert</t>
  </si>
  <si>
    <t>Dömötör Emil</t>
  </si>
  <si>
    <t>Pomázi Emőd</t>
  </si>
  <si>
    <t>Fehérvári Ilona</t>
  </si>
  <si>
    <t>Nyéki Regina</t>
  </si>
  <si>
    <t>Szemes Edvin</t>
  </si>
  <si>
    <t>Huszka Beatrix</t>
  </si>
  <si>
    <t>Bajor Noémi</t>
  </si>
  <si>
    <t>Dorogi Ábrahám</t>
  </si>
  <si>
    <t>Rigó János</t>
  </si>
  <si>
    <t>Polyák Júlia</t>
  </si>
  <si>
    <t>Fonyódi Amanda</t>
  </si>
  <si>
    <t>Kocsis Ottó</t>
  </si>
  <si>
    <t>Szőke Aurél</t>
  </si>
  <si>
    <t>Reményi Bence</t>
  </si>
  <si>
    <t>Solymos Fanni</t>
  </si>
  <si>
    <t>Rózsahegyi Zoltán</t>
  </si>
  <si>
    <t>Jávor Bernát</t>
  </si>
  <si>
    <t>Martos Valéria</t>
  </si>
  <si>
    <t>Dobai Norbert</t>
  </si>
  <si>
    <t>Zsoldos Barbara</t>
  </si>
  <si>
    <t>Sólyom Antónia</t>
  </si>
  <si>
    <t>Virág Bonifác</t>
  </si>
  <si>
    <t>Madarász Aranka</t>
  </si>
  <si>
    <t>Szilágyi Imre</t>
  </si>
  <si>
    <t>Juhász Levente</t>
  </si>
  <si>
    <t>Kerekes Szabrina</t>
  </si>
  <si>
    <t>Szegő Barbara</t>
  </si>
  <si>
    <t>Pölöskei Adrienn</t>
  </si>
  <si>
    <t>Kerekes Boglárka</t>
  </si>
  <si>
    <t>Majoros Martina</t>
  </si>
  <si>
    <t>Mészáros Csilla</t>
  </si>
  <si>
    <t>Pados Ervin</t>
  </si>
  <si>
    <t>Jankovics Edit</t>
  </si>
  <si>
    <t>Nyerges Judit</t>
  </si>
  <si>
    <t>Unger Béla</t>
  </si>
  <si>
    <t>Mérei Özséb</t>
  </si>
  <si>
    <t>Vadász Heléna</t>
  </si>
  <si>
    <t>Bacsó Enikő</t>
  </si>
  <si>
    <t>Porkoláb Fülöp</t>
  </si>
  <si>
    <t>Gál Antal</t>
  </si>
  <si>
    <t>Somlai Kármen</t>
  </si>
  <si>
    <t>Debreceni Gedeon</t>
  </si>
  <si>
    <t>Vitéz Levente</t>
  </si>
  <si>
    <t>Martos Aranka</t>
  </si>
  <si>
    <t>Szőllősi Tamara</t>
  </si>
  <si>
    <t>Csontos Hermina</t>
  </si>
  <si>
    <t>Rádai Ádám</t>
  </si>
  <si>
    <t>Sulyok Dénes</t>
  </si>
  <si>
    <t>Mészáros Mária</t>
  </si>
  <si>
    <t>Hidas Katinka</t>
  </si>
  <si>
    <t>Váradi Richárd</t>
  </si>
  <si>
    <t>Kalmár Rezső</t>
  </si>
  <si>
    <t>Farkas Róza</t>
  </si>
  <si>
    <t>Ócsai Dániel</t>
  </si>
  <si>
    <t>Szekeres Iván</t>
  </si>
  <si>
    <t>Dóczi Timót</t>
  </si>
  <si>
    <t>Császár Sebestény</t>
  </si>
  <si>
    <t>Slezák Katinka</t>
  </si>
  <si>
    <t>Huszár Zoltán</t>
  </si>
  <si>
    <t>Csiszár Márkus</t>
  </si>
  <si>
    <t>Mezei Kornél</t>
  </si>
  <si>
    <t>Pintér Zsombor</t>
  </si>
  <si>
    <t>Kassai Boldizsár</t>
  </si>
  <si>
    <t>Jurányi Tamás</t>
  </si>
  <si>
    <t>Goda Félix</t>
  </si>
  <si>
    <t>Jobbágy Ivó</t>
  </si>
  <si>
    <t>Fenyvesi Medárd</t>
  </si>
  <si>
    <t>Király Stefánia</t>
  </si>
  <si>
    <t>Pataki Márton</t>
  </si>
  <si>
    <t>Adorján Virág</t>
  </si>
  <si>
    <t>Harmat Rezső</t>
  </si>
  <si>
    <t>Kontra Ibolya</t>
  </si>
  <si>
    <t>Lakatos Martina</t>
  </si>
  <si>
    <t>Petrás Albert</t>
  </si>
  <si>
    <t>Fehér Katalin</t>
  </si>
  <si>
    <t>Orosz Laura</t>
  </si>
  <si>
    <t>Parádi Rókus</t>
  </si>
  <si>
    <t>Sebő Csaba</t>
  </si>
  <si>
    <t>Király Barna</t>
  </si>
  <si>
    <t>Somos Dávid</t>
  </si>
  <si>
    <t>Kapás Elvira</t>
  </si>
  <si>
    <t>Huber Tamás</t>
  </si>
  <si>
    <t>Bognár Gizella</t>
  </si>
  <si>
    <t>Adorján Hajnalka</t>
  </si>
  <si>
    <t>Csontos Botond</t>
  </si>
  <si>
    <t>Dobos Lilla</t>
  </si>
  <si>
    <t>Nyitrai Vanda</t>
  </si>
  <si>
    <t>Buzsáki Boriska</t>
  </si>
  <si>
    <t>Virág Rózsa</t>
  </si>
  <si>
    <t>Ritter Árpád</t>
  </si>
  <si>
    <t>Perger Ármin</t>
  </si>
  <si>
    <t>Csaplár Árpád</t>
  </si>
  <si>
    <t>Selmeci Szilárd</t>
  </si>
  <si>
    <t>Dobai Izolda</t>
  </si>
  <si>
    <t>Nádor Csenge</t>
  </si>
  <si>
    <t>Kalmár Lajos</t>
  </si>
  <si>
    <t>Kubinyi Krisztina</t>
  </si>
  <si>
    <t>Vadász Gergely</t>
  </si>
  <si>
    <t>Maróti Natália</t>
  </si>
  <si>
    <t>Orosz Szabina</t>
  </si>
  <si>
    <t>Pázmány Csenger</t>
  </si>
  <si>
    <t>Alföldi Szabolcs</t>
  </si>
  <si>
    <t>Hernádi Timót</t>
  </si>
  <si>
    <t>Kondor Mátyás</t>
  </si>
  <si>
    <t>Pataki Gergely</t>
  </si>
  <si>
    <t>Zágon Ágnes</t>
  </si>
  <si>
    <t>Székács Nóra</t>
  </si>
  <si>
    <t>Körmendi Boglár</t>
  </si>
  <si>
    <t>Korpás Jenő</t>
  </si>
  <si>
    <t>Gyimesi Kornélia</t>
  </si>
  <si>
    <t>Piros Erik</t>
  </si>
  <si>
    <t>Bertók Nóra</t>
  </si>
  <si>
    <t>Szarka Ede</t>
  </si>
  <si>
    <t>Unger Ilona</t>
  </si>
  <si>
    <t>Rózsahegyi Bertalan</t>
  </si>
  <si>
    <t>Pozsonyi Szeréna</t>
  </si>
  <si>
    <t>Csáki Klotild</t>
  </si>
  <si>
    <t>Jenei Eszter</t>
  </si>
  <si>
    <t>Várnai Borbála</t>
  </si>
  <si>
    <t>Köves Lídia</t>
  </si>
  <si>
    <t>Hornyák Csaba</t>
  </si>
  <si>
    <t>Hajdú Emilia</t>
  </si>
  <si>
    <t>Duka Márk</t>
  </si>
  <si>
    <t>Kecskés Viktor</t>
  </si>
  <si>
    <t>Sápi Marianna</t>
  </si>
  <si>
    <t>Tar Terézia</t>
  </si>
  <si>
    <t>Nyerges Hilda</t>
  </si>
  <si>
    <t>Mosolygó Piroska</t>
  </si>
  <si>
    <t>Pollák Réka</t>
  </si>
  <si>
    <t>Bolgár Mihály</t>
  </si>
  <si>
    <t>Pázmány Nándor</t>
  </si>
  <si>
    <t>Nádor Valentin</t>
  </si>
  <si>
    <t>Berkes György</t>
  </si>
  <si>
    <t>Rigó Árpád</t>
  </si>
  <si>
    <t>Debreceni Antónia</t>
  </si>
  <si>
    <t>Barta Ferenc</t>
  </si>
  <si>
    <t>Szerencsés Mária</t>
  </si>
  <si>
    <t>Szigeti Árpád</t>
  </si>
  <si>
    <t>Ormai Renáta</t>
  </si>
  <si>
    <t>Prohaszka Vencel</t>
  </si>
  <si>
    <t>Magyar Gedeon</t>
  </si>
  <si>
    <t>Boros Ernő</t>
  </si>
  <si>
    <t>Lévai Bertalan</t>
  </si>
  <si>
    <t>Rákoczi Gáspár</t>
  </si>
  <si>
    <t>Berkes Galina</t>
  </si>
  <si>
    <t>Beke Jolán</t>
  </si>
  <si>
    <t>Jankovics Rezső</t>
  </si>
  <si>
    <t>Szirtes Arnold</t>
  </si>
  <si>
    <t>Lapos Evelin</t>
  </si>
  <si>
    <t>Kútvölgyi Dóra</t>
  </si>
  <si>
    <t>Füstös Mária</t>
  </si>
  <si>
    <t>Csorba Arika</t>
  </si>
  <si>
    <t>Liptai Elek</t>
  </si>
  <si>
    <t>Mózer Csanád</t>
  </si>
  <si>
    <t>Pákozdi Konrád</t>
  </si>
  <si>
    <t>Cigány Terézia</t>
  </si>
  <si>
    <t>Szabados Szilvia</t>
  </si>
  <si>
    <t>Sas Magdolna</t>
  </si>
  <si>
    <t>Szegedi Tamás</t>
  </si>
  <si>
    <t>Bartos Lujza</t>
  </si>
  <si>
    <t>Torda Marianna</t>
  </si>
  <si>
    <t>Vida Csanád</t>
  </si>
  <si>
    <t>Gyimesi Boglár</t>
  </si>
  <si>
    <t>Nyitrai Pál</t>
  </si>
  <si>
    <t>Csordás Dezső</t>
  </si>
  <si>
    <t>Surányi Albert</t>
  </si>
  <si>
    <t>Baranyai Vilmos</t>
  </si>
  <si>
    <t>Kormos Ivó</t>
  </si>
  <si>
    <t>Hegyi Frigyes</t>
  </si>
  <si>
    <t>Méhes Magda</t>
  </si>
  <si>
    <t>Kerepesi Ernő</t>
  </si>
  <si>
    <t>Polyák Enikő</t>
  </si>
  <si>
    <t>Lendvai Erzsébet</t>
  </si>
  <si>
    <t>Székely Malvin</t>
  </si>
  <si>
    <t>Román Márton</t>
  </si>
  <si>
    <t>Sági Barbara</t>
  </si>
  <si>
    <t>Burján Adrienn</t>
  </si>
  <si>
    <t>Rónai Boriska</t>
  </si>
  <si>
    <t>Répási Olívia</t>
  </si>
  <si>
    <t>Temesi Emma</t>
  </si>
  <si>
    <t>Seres Lázár</t>
  </si>
  <si>
    <t>Suba Barbara</t>
  </si>
  <si>
    <t>Keresztes Tamara</t>
  </si>
  <si>
    <t>Pákozdi Hédi</t>
  </si>
  <si>
    <t>Sényi Arika</t>
  </si>
  <si>
    <t>Kertes Kálmán</t>
  </si>
  <si>
    <t>Szerdahelyi Emma</t>
  </si>
  <si>
    <t>Gönci Szilveszter</t>
  </si>
  <si>
    <t>Rejtő Bulcsú</t>
  </si>
  <si>
    <t>Sárosi Simon</t>
  </si>
  <si>
    <t>Cigány Jenő</t>
  </si>
  <si>
    <t>Nyerges Rózsa</t>
  </si>
  <si>
    <t>Oláh Tamás</t>
  </si>
  <si>
    <t>Galambos Klotild</t>
  </si>
  <si>
    <t>Palágyi Hedvig</t>
  </si>
  <si>
    <t>Frank Kitti</t>
  </si>
  <si>
    <t>Szendrei Regina</t>
  </si>
  <si>
    <t>Orosz Tilda</t>
  </si>
  <si>
    <t>Dózsa Elek</t>
  </si>
  <si>
    <t>Makra Tódor</t>
  </si>
  <si>
    <t>Sziva Bence</t>
  </si>
  <si>
    <t>Kerekes Rita</t>
  </si>
  <si>
    <t>Mosolygó Kázmér</t>
  </si>
  <si>
    <t>Keresztes Elza</t>
  </si>
  <si>
    <t>Sólyom Vera</t>
  </si>
  <si>
    <t>Sallai István</t>
  </si>
  <si>
    <t>Zala Márkus</t>
  </si>
  <si>
    <t>Róka Szidónia</t>
  </si>
  <si>
    <t>Mátrai Arika</t>
  </si>
  <si>
    <t>Sápi Dávid</t>
  </si>
  <si>
    <t>Szekeres Gertrúd</t>
  </si>
  <si>
    <t>Ács Szabolcs</t>
  </si>
  <si>
    <t>Éles Zsolt</t>
  </si>
  <si>
    <t>Mohos Áron</t>
  </si>
  <si>
    <t>Harsányi Csanád</t>
  </si>
  <si>
    <t>Hajdú Kata</t>
  </si>
  <si>
    <t>Keleti Pál</t>
  </si>
  <si>
    <t>Virág Bulcsú</t>
  </si>
  <si>
    <t>Korpás Hugó</t>
  </si>
  <si>
    <t>Pásztor Amália</t>
  </si>
  <si>
    <t>Fehér Gáspár</t>
  </si>
  <si>
    <t>Lakatos Péter</t>
  </si>
  <si>
    <t>Novák Orsolya</t>
  </si>
  <si>
    <t>Morvai Szilvia</t>
  </si>
  <si>
    <t>Egervári Izolda</t>
  </si>
  <si>
    <t>Garamvölgyi Dominika</t>
  </si>
  <si>
    <t>Ladányi Szilvia</t>
  </si>
  <si>
    <t>Bognár Szervác</t>
  </si>
  <si>
    <t>Hamar Mária</t>
  </si>
  <si>
    <t>Gáti Jolán</t>
  </si>
  <si>
    <t>Szendrő Alfréd</t>
  </si>
  <si>
    <t>Kékesi Attila</t>
  </si>
  <si>
    <t>Laczkó Jolán</t>
  </si>
  <si>
    <t>Hegedűs Leonóra</t>
  </si>
  <si>
    <t>Kondor Vince</t>
  </si>
  <si>
    <t>Roboz Cecilia</t>
  </si>
  <si>
    <t>Balla Antal</t>
  </si>
  <si>
    <t>Győri Hugó</t>
  </si>
  <si>
    <t>Rónai Barbara</t>
  </si>
  <si>
    <t>Simák Júlia</t>
  </si>
  <si>
    <t>Kardos Zsuzsanna</t>
  </si>
  <si>
    <t>Mátrai Beáta</t>
  </si>
  <si>
    <t>Prohaszka Paula</t>
  </si>
  <si>
    <t>Simák István</t>
  </si>
  <si>
    <t>Kútvölgyi Liliána</t>
  </si>
  <si>
    <t>Sallai Judit</t>
  </si>
  <si>
    <t>Fehér Lili</t>
  </si>
  <si>
    <t>Alföldi Marianna</t>
  </si>
  <si>
    <t>Pallagi Kolos</t>
  </si>
  <si>
    <t>Füleki Anikó</t>
  </si>
  <si>
    <t>Dudás Kornél</t>
  </si>
  <si>
    <t>Pap Andor</t>
  </si>
  <si>
    <t>Osváth Lóránd</t>
  </si>
  <si>
    <t>Fábián Dénes</t>
  </si>
  <si>
    <t>Pócsik Attila</t>
  </si>
  <si>
    <t>Ács Aladár</t>
  </si>
  <si>
    <t>Füstös Miklós</t>
  </si>
  <si>
    <t>Kamarás Simon</t>
  </si>
  <si>
    <t>Kovács Malvin</t>
  </si>
  <si>
    <t>Várnai Emese</t>
  </si>
  <si>
    <t>Süle Zita</t>
  </si>
  <si>
    <t>Hamza László</t>
  </si>
  <si>
    <t>Hagymási Ferenc</t>
  </si>
  <si>
    <t>Gulyás Bálint</t>
  </si>
  <si>
    <t>Csóka Judit</t>
  </si>
  <si>
    <t>Fehér Emma</t>
  </si>
  <si>
    <t>Bakos Emőd</t>
  </si>
  <si>
    <t>Szántai Tamara</t>
  </si>
  <si>
    <t>Pete Hedvig</t>
  </si>
  <si>
    <t>Jankovics Terézia</t>
  </si>
  <si>
    <t>Angyal Bíborka</t>
  </si>
  <si>
    <t>Palágyi Norbert</t>
  </si>
  <si>
    <t>Péli Piroska</t>
  </si>
  <si>
    <t>Korda Ábel</t>
  </si>
  <si>
    <t>Dóka Piroska</t>
  </si>
  <si>
    <t>Répási Viktor</t>
  </si>
  <si>
    <t>Török Bátor</t>
  </si>
  <si>
    <t>Asztalos Ábel</t>
  </si>
  <si>
    <t>Ócsai Dorottya</t>
  </si>
  <si>
    <t>Rózsavölgyi Tamara</t>
  </si>
  <si>
    <t>Kopácsi Ida</t>
  </si>
  <si>
    <t>Perger Amália</t>
  </si>
  <si>
    <t>Szendrő Gedeon</t>
  </si>
  <si>
    <t>Abonyi Menyhért</t>
  </si>
  <si>
    <t>Pesti Szabina</t>
  </si>
  <si>
    <t>Jurányi Elemér</t>
  </si>
  <si>
    <t>Bagi Tódor</t>
  </si>
  <si>
    <t>Temesi Marcell</t>
  </si>
  <si>
    <t>Reményi Kristóf</t>
  </si>
  <si>
    <t>Heller Eszter</t>
  </si>
  <si>
    <t>Hatvani Fülöp</t>
  </si>
  <si>
    <t>Pesti Kristóf</t>
  </si>
  <si>
    <t>Szeberényi Titusz</t>
  </si>
  <si>
    <t>Poór Matild</t>
  </si>
  <si>
    <t>Kormos Lídia</t>
  </si>
  <si>
    <t>Virág Andor</t>
  </si>
  <si>
    <t>Ódor Rozália</t>
  </si>
  <si>
    <t>Méhes Izolda</t>
  </si>
  <si>
    <t>Garamvölgyi György</t>
  </si>
  <si>
    <t>Rónai Virág</t>
  </si>
  <si>
    <t>Medve Borisz</t>
  </si>
  <si>
    <t>Hajdú Áron</t>
  </si>
  <si>
    <t>Simó Emőke</t>
  </si>
  <si>
    <t>Temesi Gergő</t>
  </si>
  <si>
    <t>Pallagi Ede</t>
  </si>
  <si>
    <t>Gazdag Csaba</t>
  </si>
  <si>
    <t>Komáromi Olivér</t>
  </si>
  <si>
    <t>Ritter Jeromos</t>
  </si>
  <si>
    <t>Gyimesi Jolán</t>
  </si>
  <si>
    <t>Korpás Fülöp</t>
  </si>
  <si>
    <t>Pozsonyi Elek</t>
  </si>
  <si>
    <t>Mózer Iván</t>
  </si>
  <si>
    <t>Nógrádi György</t>
  </si>
  <si>
    <t>Mezei Hilda</t>
  </si>
  <si>
    <t>Rigó László</t>
  </si>
  <si>
    <t>Somos Piroska</t>
  </si>
  <si>
    <t>Ladányi Szeréna</t>
  </si>
  <si>
    <t>Bodó Judit</t>
  </si>
  <si>
    <t>Nyári Örs</t>
  </si>
  <si>
    <t>Kecskés Herman</t>
  </si>
  <si>
    <t>Suba Angéla</t>
  </si>
  <si>
    <t>Polgár Ádám</t>
  </si>
  <si>
    <t>Kardos Vince</t>
  </si>
  <si>
    <t>Lugosi Gyöngyvér</t>
  </si>
  <si>
    <t>Győri Zsófia</t>
  </si>
  <si>
    <t>Radnai Kitti</t>
  </si>
  <si>
    <t>Szebeni Magda</t>
  </si>
  <si>
    <t>Stark Ida</t>
  </si>
  <si>
    <t>Sáfrány Dávid</t>
  </si>
  <si>
    <t>Gyurkovics Franciska</t>
  </si>
  <si>
    <t>Bertók Titusz</t>
  </si>
  <si>
    <t>Ujvári Kornélia</t>
  </si>
  <si>
    <t>Pusztai Zsigmond</t>
  </si>
  <si>
    <t>Ritter Dávid</t>
  </si>
  <si>
    <t>Körmendi Örs</t>
  </si>
  <si>
    <t>Gond Veronika</t>
  </si>
  <si>
    <t>Toldi Simon</t>
  </si>
  <si>
    <t>Cigány Gábor</t>
  </si>
  <si>
    <t>Sötér Zsuzsanna</t>
  </si>
  <si>
    <t>Huszka Aladár</t>
  </si>
  <si>
    <t>Vass Ödön</t>
  </si>
  <si>
    <t>Enyedi Botond</t>
  </si>
  <si>
    <t>Szalkai Beatrix</t>
  </si>
  <si>
    <t>Mátyus Viola</t>
  </si>
  <si>
    <t>Heller Norbert</t>
  </si>
  <si>
    <t>Torda Móricz</t>
  </si>
  <si>
    <t>Szegő Gergely</t>
  </si>
  <si>
    <t>Gazdag Lénárd</t>
  </si>
  <si>
    <t>Hagymási Balázs</t>
  </si>
  <si>
    <t>Lovász Zsombor</t>
  </si>
  <si>
    <t>Huszár Noémi</t>
  </si>
  <si>
    <t>Agócs Mihály</t>
  </si>
  <si>
    <t>Bodó Gerda</t>
  </si>
  <si>
    <t>Szendrei Emil</t>
  </si>
  <si>
    <t>Kecskés Marietta</t>
  </si>
  <si>
    <t>Kulcsár Jónás</t>
  </si>
  <si>
    <t>Mácsai Árpád</t>
  </si>
  <si>
    <t>Zsoldos Tilda</t>
  </si>
  <si>
    <t>Csányi Sándor</t>
  </si>
  <si>
    <t>Kapás Aranka</t>
  </si>
  <si>
    <t>Szalkai Ede</t>
  </si>
  <si>
    <t>Gyarmati Csenger</t>
  </si>
  <si>
    <t>Csernus Irén</t>
  </si>
  <si>
    <t>Gyenes Ottó</t>
  </si>
  <si>
    <t>Kocsis Zsigmond</t>
  </si>
  <si>
    <t>Koczka Marianna</t>
  </si>
  <si>
    <t>Hatvani Krisztina</t>
  </si>
  <si>
    <t>Szabados Pál</t>
  </si>
  <si>
    <t>Szarka Mózes</t>
  </si>
  <si>
    <t>Gál Olivér</t>
  </si>
  <si>
    <t>Pataki Aranka</t>
  </si>
  <si>
    <t>Mezei Laura</t>
  </si>
  <si>
    <t>Bacsó Zita</t>
  </si>
  <si>
    <t>Soltész Boglár</t>
  </si>
  <si>
    <t>Szakács Péter</t>
  </si>
  <si>
    <t>Koczka Erika</t>
  </si>
  <si>
    <t>Zentai Zoltán</t>
  </si>
  <si>
    <t>Kósa Ervin</t>
  </si>
  <si>
    <t>Sáfrány Gyöngyvér</t>
  </si>
  <si>
    <t>Kosztolányi Gabriella</t>
  </si>
  <si>
    <t>Somos Elemér</t>
  </si>
  <si>
    <t>Rózsahegyi Gedeon</t>
  </si>
  <si>
    <t>Szepesi Márta</t>
  </si>
  <si>
    <t>Oláh Erik</t>
  </si>
  <si>
    <t>Serföző Viktória</t>
  </si>
  <si>
    <t>Vajda Kornélia</t>
  </si>
  <si>
    <t>Kuti Gergő</t>
  </si>
  <si>
    <t>Kocsis Terézia</t>
  </si>
  <si>
    <t>Bíró Szervác</t>
  </si>
  <si>
    <t>Somodi Dorottya</t>
  </si>
  <si>
    <t>Lánczi Krisztina</t>
  </si>
  <si>
    <t>Mácsai Erika</t>
  </si>
  <si>
    <t>Vitéz Jakab</t>
  </si>
  <si>
    <t>Eke Marianna</t>
  </si>
  <si>
    <t>Füstös Kriszta</t>
  </si>
  <si>
    <t>Sárkány Jenő</t>
  </si>
  <si>
    <t>Cseh Tibor</t>
  </si>
  <si>
    <t>Körmendi Jenő</t>
  </si>
  <si>
    <t>Pozsonyi Mózes</t>
  </si>
  <si>
    <t>Kárpáti Flóra</t>
  </si>
  <si>
    <t>Makra Lídia</t>
  </si>
  <si>
    <t>Fekete Ferenc</t>
  </si>
  <si>
    <t>Bódi Gedeon</t>
  </si>
  <si>
    <t>Almási Zsófia</t>
  </si>
  <si>
    <t>Kun Marietta</t>
  </si>
  <si>
    <t>Engi Jolán</t>
  </si>
  <si>
    <t>Hatvani Elvira</t>
  </si>
  <si>
    <t>Halmai Mihály</t>
  </si>
  <si>
    <t>Nemes Jusztin</t>
  </si>
  <si>
    <t>Frank Lóránd</t>
  </si>
  <si>
    <t>Olajos Boglár</t>
  </si>
  <si>
    <t>Orosz Magdolna</t>
  </si>
  <si>
    <t>Perjés Regina</t>
  </si>
  <si>
    <t>Petényi Tamara</t>
  </si>
  <si>
    <t>Asztalos Arany</t>
  </si>
  <si>
    <t>Nemes Barnabás</t>
  </si>
  <si>
    <t>Bodó Rudolf</t>
  </si>
  <si>
    <t>Rádai Pálma</t>
  </si>
  <si>
    <t>Szigetvári Debóra</t>
  </si>
  <si>
    <t>Budapest VII. kerület</t>
  </si>
  <si>
    <t>Budapest XI. kerület</t>
  </si>
  <si>
    <t>Budapest XVIII. kerület</t>
  </si>
  <si>
    <t>Budapest XXI. kerület</t>
  </si>
  <si>
    <t>Budapest XIII. kerület</t>
  </si>
  <si>
    <t>Budapest VIII. kerület</t>
  </si>
  <si>
    <t>Budapest XXII. kerület</t>
  </si>
  <si>
    <t>Budapest XX. kerület</t>
  </si>
  <si>
    <t>Budapest III. kerület</t>
  </si>
  <si>
    <t>Budapest X. kerület</t>
  </si>
  <si>
    <t>Budapest II. kerület</t>
  </si>
  <si>
    <t>Gyula</t>
  </si>
  <si>
    <t>Budapest XVI. kerület</t>
  </si>
  <si>
    <t>Budapest XII. kerület</t>
  </si>
  <si>
    <t>Budapest XIV. kerület</t>
  </si>
  <si>
    <t>Budapest IV. kerület</t>
  </si>
  <si>
    <t>Budapest XV. kerület</t>
  </si>
  <si>
    <t>Budapest IX. kerület</t>
  </si>
  <si>
    <t>Budapest XIX. kerület</t>
  </si>
  <si>
    <t>Budapest XVII. kerület</t>
  </si>
  <si>
    <t>Budapest VI. kerület</t>
  </si>
  <si>
    <t>azonosító</t>
  </si>
  <si>
    <t>lakhely</t>
  </si>
  <si>
    <t>IV</t>
  </si>
  <si>
    <t>III</t>
  </si>
  <si>
    <t>I</t>
  </si>
  <si>
    <t>II</t>
  </si>
  <si>
    <t>családi név</t>
  </si>
  <si>
    <t>utónév</t>
  </si>
  <si>
    <t>kiemelt</t>
  </si>
  <si>
    <t>státusz</t>
  </si>
  <si>
    <t>lekötés</t>
  </si>
  <si>
    <t>lejár</t>
  </si>
  <si>
    <t>Szerencsés</t>
  </si>
  <si>
    <t>Bálint</t>
  </si>
  <si>
    <t>Kapás</t>
  </si>
  <si>
    <t>Gellért</t>
  </si>
  <si>
    <t>Kovács</t>
  </si>
  <si>
    <t>Klotild</t>
  </si>
  <si>
    <t>Mezei</t>
  </si>
  <si>
    <t>Mózes</t>
  </si>
  <si>
    <t>Gyarmati</t>
  </si>
  <si>
    <t>Áron</t>
  </si>
  <si>
    <t>Faludi</t>
  </si>
  <si>
    <t>Kristóf</t>
  </si>
  <si>
    <t>Virág</t>
  </si>
  <si>
    <t>Szabina</t>
  </si>
  <si>
    <t>Havas</t>
  </si>
  <si>
    <t>Emma</t>
  </si>
  <si>
    <t>Fonyódi</t>
  </si>
  <si>
    <t>Huba</t>
  </si>
  <si>
    <t>Kormos</t>
  </si>
  <si>
    <t>Borisz</t>
  </si>
  <si>
    <t>C-0000 0016</t>
  </si>
  <si>
    <t>Várszegi</t>
  </si>
  <si>
    <t>Róbert</t>
  </si>
  <si>
    <t>Nyitrai</t>
  </si>
  <si>
    <t>Regina</t>
  </si>
  <si>
    <t>Dóka</t>
  </si>
  <si>
    <t>Domonkos</t>
  </si>
  <si>
    <t>Pákozdi</t>
  </si>
  <si>
    <t>Rózsa</t>
  </si>
  <si>
    <t>Radnai</t>
  </si>
  <si>
    <t>Elek</t>
  </si>
  <si>
    <t>B-0000 0028</t>
  </si>
  <si>
    <t>Stadler</t>
  </si>
  <si>
    <t>Jácint</t>
  </si>
  <si>
    <t>Matos</t>
  </si>
  <si>
    <t>Szilveszter</t>
  </si>
  <si>
    <t>Gémes</t>
  </si>
  <si>
    <t>Farkas</t>
  </si>
  <si>
    <t>Hajós</t>
  </si>
  <si>
    <t>alvó</t>
  </si>
  <si>
    <t>C-0000 0017</t>
  </si>
  <si>
    <t>Szendrei</t>
  </si>
  <si>
    <t>Csilla</t>
  </si>
  <si>
    <t>A-0000 2529</t>
  </si>
  <si>
    <t>Rejtő</t>
  </si>
  <si>
    <t>Ede</t>
  </si>
  <si>
    <t>Sári</t>
  </si>
  <si>
    <t>Özséb</t>
  </si>
  <si>
    <t>Novák</t>
  </si>
  <si>
    <t>Zsuzsanna</t>
  </si>
  <si>
    <t>B-0000 0041</t>
  </si>
  <si>
    <t>Polányi</t>
  </si>
  <si>
    <t>Kornél</t>
  </si>
  <si>
    <t>A-0000 0026</t>
  </si>
  <si>
    <t>Orosz</t>
  </si>
  <si>
    <t>Ádám</t>
  </si>
  <si>
    <t>Török</t>
  </si>
  <si>
    <t>Ágota</t>
  </si>
  <si>
    <t>Sitkei</t>
  </si>
  <si>
    <t>Boglárka</t>
  </si>
  <si>
    <t>Lakatos</t>
  </si>
  <si>
    <t>Tibor</t>
  </si>
  <si>
    <t>Murányi</t>
  </si>
  <si>
    <t>Csernus</t>
  </si>
  <si>
    <t>Leonóra</t>
  </si>
  <si>
    <t>B-0000 0067</t>
  </si>
  <si>
    <t>Szakál</t>
  </si>
  <si>
    <t>Tiborc</t>
  </si>
  <si>
    <t>A-0001 6536</t>
  </si>
  <si>
    <t>Füleki</t>
  </si>
  <si>
    <t>Dallos</t>
  </si>
  <si>
    <t>Kármen</t>
  </si>
  <si>
    <t>Dévényi</t>
  </si>
  <si>
    <t>Edina</t>
  </si>
  <si>
    <t>Jurányi</t>
  </si>
  <si>
    <t>Levente</t>
  </si>
  <si>
    <t>Rényi</t>
  </si>
  <si>
    <t>Márkus</t>
  </si>
  <si>
    <t>Halmai</t>
  </si>
  <si>
    <t>Arnold</t>
  </si>
  <si>
    <t>Pölöskei</t>
  </si>
  <si>
    <t>Tivadar</t>
  </si>
  <si>
    <t>Rákoczi</t>
  </si>
  <si>
    <t>Borbála</t>
  </si>
  <si>
    <t>Perényi</t>
  </si>
  <si>
    <t>Dávid</t>
  </si>
  <si>
    <t>Adorján</t>
  </si>
  <si>
    <t>Noémi</t>
  </si>
  <si>
    <t>Karsai</t>
  </si>
  <si>
    <t>Dózsa</t>
  </si>
  <si>
    <t>János</t>
  </si>
  <si>
    <t>A-0030 6147</t>
  </si>
  <si>
    <t>Keresztes</t>
  </si>
  <si>
    <t>Júlia</t>
  </si>
  <si>
    <t>Kozma</t>
  </si>
  <si>
    <t>Tomcsik</t>
  </si>
  <si>
    <t>Dénes</t>
  </si>
  <si>
    <t>Almási</t>
  </si>
  <si>
    <t>Gerzson</t>
  </si>
  <si>
    <t>Béla</t>
  </si>
  <si>
    <t>Jakab</t>
  </si>
  <si>
    <t>A-0000 6498</t>
  </si>
  <si>
    <t>Torda</t>
  </si>
  <si>
    <t>Adrienn</t>
  </si>
  <si>
    <t>C-0992 3254</t>
  </si>
  <si>
    <t>Csiszár</t>
  </si>
  <si>
    <t>Gusztáv</t>
  </si>
  <si>
    <t>Kárpáti</t>
  </si>
  <si>
    <t>Mohácsi</t>
  </si>
  <si>
    <t>Balázs</t>
  </si>
  <si>
    <t>C-0001 8016</t>
  </si>
  <si>
    <t>Mester</t>
  </si>
  <si>
    <t>Tamás</t>
  </si>
  <si>
    <t>Polgár</t>
  </si>
  <si>
    <t>Roland</t>
  </si>
  <si>
    <t>Tilda</t>
  </si>
  <si>
    <t>Réka</t>
  </si>
  <si>
    <t>B-3142 8508</t>
  </si>
  <si>
    <t>Radványi</t>
  </si>
  <si>
    <t>A-0000 2025</t>
  </si>
  <si>
    <t>Kamarás</t>
  </si>
  <si>
    <t>Gitta</t>
  </si>
  <si>
    <t>A-0055 7996</t>
  </si>
  <si>
    <t>Boros</t>
  </si>
  <si>
    <t>Viktor</t>
  </si>
  <si>
    <t>A-0000 0502</t>
  </si>
  <si>
    <t>Rideg</t>
  </si>
  <si>
    <t>Edvin</t>
  </si>
  <si>
    <t>C-4164 8753</t>
  </si>
  <si>
    <t>Koltai</t>
  </si>
  <si>
    <t>Norbert</t>
  </si>
  <si>
    <t>Róka</t>
  </si>
  <si>
    <t>Róza</t>
  </si>
  <si>
    <t>B-2929 6589</t>
  </si>
  <si>
    <t>Bihari</t>
  </si>
  <si>
    <t>Oszkár</t>
  </si>
  <si>
    <t>A-0004 3696</t>
  </si>
  <si>
    <t>Ráth</t>
  </si>
  <si>
    <t>Elvira</t>
  </si>
  <si>
    <t>Csontos</t>
  </si>
  <si>
    <t>Bátor</t>
  </si>
  <si>
    <t>C-0000 0090</t>
  </si>
  <si>
    <t>Kékesi</t>
  </si>
  <si>
    <t>Kolos</t>
  </si>
  <si>
    <t>A-0000 4129</t>
  </si>
  <si>
    <t>Sütő</t>
  </si>
  <si>
    <t>Ágoston</t>
  </si>
  <si>
    <t>A-0000 8910</t>
  </si>
  <si>
    <t>Dömötör</t>
  </si>
  <si>
    <t>Linda</t>
  </si>
  <si>
    <t>Pataki</t>
  </si>
  <si>
    <t>Lili</t>
  </si>
  <si>
    <t>Gosztonyi</t>
  </si>
  <si>
    <t>Bonifác</t>
  </si>
  <si>
    <t>Magdaléna</t>
  </si>
  <si>
    <t>Erdős</t>
  </si>
  <si>
    <t>Rozália</t>
  </si>
  <si>
    <t>C-0000 0757</t>
  </si>
  <si>
    <t>Fellegi</t>
  </si>
  <si>
    <t>Amália</t>
  </si>
  <si>
    <t>Pandúr</t>
  </si>
  <si>
    <t>Donát</t>
  </si>
  <si>
    <t>Boriska</t>
  </si>
  <si>
    <t>A-0081 5909</t>
  </si>
  <si>
    <t>Balog</t>
  </si>
  <si>
    <t>Andrea</t>
  </si>
  <si>
    <t>C-0080 9151</t>
  </si>
  <si>
    <t>Somos</t>
  </si>
  <si>
    <t>Sebestény</t>
  </si>
  <si>
    <t>A-0027 8161</t>
  </si>
  <si>
    <t>Vass</t>
  </si>
  <si>
    <t>Zsigmond</t>
  </si>
  <si>
    <t>Székely</t>
  </si>
  <si>
    <t>Patrícia</t>
  </si>
  <si>
    <t>Homoki</t>
  </si>
  <si>
    <t>Ida</t>
  </si>
  <si>
    <t>Rajnai</t>
  </si>
  <si>
    <t>Ujvári</t>
  </si>
  <si>
    <t>Boldizsár</t>
  </si>
  <si>
    <t>A-0000 0010</t>
  </si>
  <si>
    <t>Balla</t>
  </si>
  <si>
    <t>C-0006 5544</t>
  </si>
  <si>
    <t>Pécsi</t>
  </si>
  <si>
    <t>Pálos</t>
  </si>
  <si>
    <t>Ódor</t>
  </si>
  <si>
    <t>Hidas</t>
  </si>
  <si>
    <t>Hedvig</t>
  </si>
  <si>
    <t>Beke</t>
  </si>
  <si>
    <t>Olimpia</t>
  </si>
  <si>
    <t>Fazekas</t>
  </si>
  <si>
    <t>Hédi</t>
  </si>
  <si>
    <t>Reményi</t>
  </si>
  <si>
    <t>Marcell</t>
  </si>
  <si>
    <t>Zsoldos</t>
  </si>
  <si>
    <t>B-0537 7958</t>
  </si>
  <si>
    <t>Petró</t>
  </si>
  <si>
    <t>Adalbert</t>
  </si>
  <si>
    <t>A-0000 0191</t>
  </si>
  <si>
    <t>Péli</t>
  </si>
  <si>
    <t>Felícia</t>
  </si>
  <si>
    <t>Egervári</t>
  </si>
  <si>
    <t>C-0000 7962</t>
  </si>
  <si>
    <t>Somlai</t>
  </si>
  <si>
    <t>Katalin</t>
  </si>
  <si>
    <t>C-0000 0036</t>
  </si>
  <si>
    <t>Ambrus</t>
  </si>
  <si>
    <t>C-0071 8127</t>
  </si>
  <si>
    <t>Hajna</t>
  </si>
  <si>
    <t>Sáfrány</t>
  </si>
  <si>
    <t>Rudolf</t>
  </si>
  <si>
    <t>Forrai</t>
  </si>
  <si>
    <t>A-0076 5692</t>
  </si>
  <si>
    <t>Dobos</t>
  </si>
  <si>
    <t>Irén</t>
  </si>
  <si>
    <t>A-0000 0782</t>
  </si>
  <si>
    <t>Keszthelyi</t>
  </si>
  <si>
    <t>Márkó</t>
  </si>
  <si>
    <t>Szőnyi</t>
  </si>
  <si>
    <t>A-0424 9601</t>
  </si>
  <si>
    <t>Gyurkovics</t>
  </si>
  <si>
    <t>Izabella</t>
  </si>
  <si>
    <t>Gazsó</t>
  </si>
  <si>
    <t>Kis</t>
  </si>
  <si>
    <t>Mosolygó</t>
  </si>
  <si>
    <t>Taksony</t>
  </si>
  <si>
    <t>Mocsári</t>
  </si>
  <si>
    <t>Tasnádi</t>
  </si>
  <si>
    <t>Melinda</t>
  </si>
  <si>
    <t>Krisztina</t>
  </si>
  <si>
    <t>B-0005 0434</t>
  </si>
  <si>
    <t>Frigyes</t>
  </si>
  <si>
    <t>Komáromi</t>
  </si>
  <si>
    <t>Ignác</t>
  </si>
  <si>
    <t>Szatmári</t>
  </si>
  <si>
    <t>Zsolt</t>
  </si>
  <si>
    <t>C-0000 7645</t>
  </si>
  <si>
    <t>Tekla</t>
  </si>
  <si>
    <t>Káldor</t>
  </si>
  <si>
    <t>Franciska</t>
  </si>
  <si>
    <t>Boglár</t>
  </si>
  <si>
    <t>Csergő</t>
  </si>
  <si>
    <t>Galina</t>
  </si>
  <si>
    <t>Bacsó</t>
  </si>
  <si>
    <t>Tódor</t>
  </si>
  <si>
    <t>A-0273 5655</t>
  </si>
  <si>
    <t>Huszák</t>
  </si>
  <si>
    <t>Szilárd</t>
  </si>
  <si>
    <t>Paál</t>
  </si>
  <si>
    <t>Arika</t>
  </si>
  <si>
    <t>B-0001 8675</t>
  </si>
  <si>
    <t>Oláh</t>
  </si>
  <si>
    <t>Vas</t>
  </si>
  <si>
    <t>Lovász</t>
  </si>
  <si>
    <t>Géza</t>
  </si>
  <si>
    <t>Sápi</t>
  </si>
  <si>
    <t>Tihamér</t>
  </si>
  <si>
    <t>B-0429 5599</t>
  </si>
  <si>
    <t>Porkoláb</t>
  </si>
  <si>
    <t>Edgár</t>
  </si>
  <si>
    <t>A-0167 6674</t>
  </si>
  <si>
    <t>Hamar</t>
  </si>
  <si>
    <t>B-0000 7306</t>
  </si>
  <si>
    <t>Pető</t>
  </si>
  <si>
    <t>Szentgyörgyi</t>
  </si>
  <si>
    <t>Tamara</t>
  </si>
  <si>
    <t>József</t>
  </si>
  <si>
    <t>Kecskés</t>
  </si>
  <si>
    <t>Solymos</t>
  </si>
  <si>
    <t>Jolán</t>
  </si>
  <si>
    <t>B-0000 9582</t>
  </si>
  <si>
    <t>Erdei</t>
  </si>
  <si>
    <t>C-0008 0976</t>
  </si>
  <si>
    <t>Gönci</t>
  </si>
  <si>
    <t>C-0097 6245</t>
  </si>
  <si>
    <t>Bulcsú</t>
  </si>
  <si>
    <t>Bolgár</t>
  </si>
  <si>
    <t>Mérei</t>
  </si>
  <si>
    <t>Roboz</t>
  </si>
  <si>
    <t>Dorottya</t>
  </si>
  <si>
    <t>B-0000 0508</t>
  </si>
  <si>
    <t>Sötér</t>
  </si>
  <si>
    <t>Debóra</t>
  </si>
  <si>
    <t>Gyöngyvér</t>
  </si>
  <si>
    <t>Burján</t>
  </si>
  <si>
    <t>Szűcs</t>
  </si>
  <si>
    <t>Erika</t>
  </si>
  <si>
    <t>Gyöngyi</t>
  </si>
  <si>
    <t>Gulyás</t>
  </si>
  <si>
    <t>Szervác</t>
  </si>
  <si>
    <t>Perger</t>
  </si>
  <si>
    <t>Máté</t>
  </si>
  <si>
    <t>Szabrina</t>
  </si>
  <si>
    <t>Vitéz</t>
  </si>
  <si>
    <t>Gizella</t>
  </si>
  <si>
    <t>Rostás</t>
  </si>
  <si>
    <t>Imre</t>
  </si>
  <si>
    <t>Harsányi</t>
  </si>
  <si>
    <t>Kata</t>
  </si>
  <si>
    <t>Simák</t>
  </si>
  <si>
    <t>Mária</t>
  </si>
  <si>
    <t>Szőllősi</t>
  </si>
  <si>
    <t>Zoltán</t>
  </si>
  <si>
    <t>C-0791 0179</t>
  </si>
  <si>
    <t>Hamza</t>
  </si>
  <si>
    <t>Pék</t>
  </si>
  <si>
    <t>Lázár</t>
  </si>
  <si>
    <t>Nádasi</t>
  </si>
  <si>
    <t>István</t>
  </si>
  <si>
    <t>Hetényi</t>
  </si>
  <si>
    <t>Bánki</t>
  </si>
  <si>
    <t>Szeberényi</t>
  </si>
  <si>
    <t>Fülöp</t>
  </si>
  <si>
    <t>Somoskövi</t>
  </si>
  <si>
    <t>Veress</t>
  </si>
  <si>
    <t>Terézia</t>
  </si>
  <si>
    <t>Révész</t>
  </si>
  <si>
    <t>Gedeon</t>
  </si>
  <si>
    <t>C-0088 9486</t>
  </si>
  <si>
    <t>Etelka</t>
  </si>
  <si>
    <t>Ritter</t>
  </si>
  <si>
    <t>B-0802 3757</t>
  </si>
  <si>
    <t>Asztalos</t>
  </si>
  <si>
    <t>Kassai</t>
  </si>
  <si>
    <t>Piroska</t>
  </si>
  <si>
    <t>A-1362 2295</t>
  </si>
  <si>
    <t>Megyesi</t>
  </si>
  <si>
    <t>Klára</t>
  </si>
  <si>
    <t>C-0000 1540</t>
  </si>
  <si>
    <t>Szilágyi</t>
  </si>
  <si>
    <t>Kelemen</t>
  </si>
  <si>
    <t>C-0000 0031</t>
  </si>
  <si>
    <t>Bognár</t>
  </si>
  <si>
    <t>Fábián</t>
  </si>
  <si>
    <t>C-0000 0415</t>
  </si>
  <si>
    <t>Bakos</t>
  </si>
  <si>
    <t>Galla</t>
  </si>
  <si>
    <t>Éva</t>
  </si>
  <si>
    <t>C-0018 9030</t>
  </si>
  <si>
    <t>Andor</t>
  </si>
  <si>
    <t>Sulyok</t>
  </si>
  <si>
    <t>Sipos</t>
  </si>
  <si>
    <t>Gál</t>
  </si>
  <si>
    <t>Ladányi</t>
  </si>
  <si>
    <t>Ervin</t>
  </si>
  <si>
    <t>Méhes</t>
  </si>
  <si>
    <t>Székács</t>
  </si>
  <si>
    <t>Lóránt</t>
  </si>
  <si>
    <t>A-0319 2160</t>
  </si>
  <si>
    <t>Pallagi</t>
  </si>
  <si>
    <t>Antónia</t>
  </si>
  <si>
    <t>Csóka</t>
  </si>
  <si>
    <t>Vince</t>
  </si>
  <si>
    <t>Kontra</t>
  </si>
  <si>
    <t>Stark</t>
  </si>
  <si>
    <t>Gergely</t>
  </si>
  <si>
    <t>Kocsis</t>
  </si>
  <si>
    <t>Anita</t>
  </si>
  <si>
    <t>Abonyi</t>
  </si>
  <si>
    <t>Hermina</t>
  </si>
  <si>
    <t>Czifra</t>
  </si>
  <si>
    <t>Köves</t>
  </si>
  <si>
    <t>Román</t>
  </si>
  <si>
    <t>Pozsgai</t>
  </si>
  <si>
    <t>Bódog</t>
  </si>
  <si>
    <t>Bobák</t>
  </si>
  <si>
    <t>Iván</t>
  </si>
  <si>
    <t>C-1273 0380</t>
  </si>
  <si>
    <t>Poór</t>
  </si>
  <si>
    <t>Barnabás</t>
  </si>
  <si>
    <t>Pap</t>
  </si>
  <si>
    <t>C-0008 3176</t>
  </si>
  <si>
    <t>Palágyi</t>
  </si>
  <si>
    <t>Jenei</t>
  </si>
  <si>
    <t>Honti</t>
  </si>
  <si>
    <t>Valentin</t>
  </si>
  <si>
    <t>Kátai</t>
  </si>
  <si>
    <t>Barbara</t>
  </si>
  <si>
    <t>Mácsai</t>
  </si>
  <si>
    <t>Vilmos</t>
  </si>
  <si>
    <t>Lujza</t>
  </si>
  <si>
    <t>Miklós</t>
  </si>
  <si>
    <t>László</t>
  </si>
  <si>
    <t>A-0008 1075</t>
  </si>
  <si>
    <t>Egerszegi</t>
  </si>
  <si>
    <t>Vajk</t>
  </si>
  <si>
    <t>Kerekes</t>
  </si>
  <si>
    <t>Dudás</t>
  </si>
  <si>
    <t>Sóti</t>
  </si>
  <si>
    <t>Antal</t>
  </si>
  <si>
    <t>Jenő</t>
  </si>
  <si>
    <t>Sajó</t>
  </si>
  <si>
    <t>Cecilia</t>
  </si>
  <si>
    <t>Salamon</t>
  </si>
  <si>
    <t>C-0000 6711</t>
  </si>
  <si>
    <t>Ábel</t>
  </si>
  <si>
    <t>A-0176 7049</t>
  </si>
  <si>
    <t>Csanád</t>
  </si>
  <si>
    <t>Serföző</t>
  </si>
  <si>
    <t>Emil</t>
  </si>
  <si>
    <t>Győri</t>
  </si>
  <si>
    <t>Olivér</t>
  </si>
  <si>
    <t>Szappanos</t>
  </si>
  <si>
    <t>Ágnes</t>
  </si>
  <si>
    <t>C-0000 5581</t>
  </si>
  <si>
    <t>Kende</t>
  </si>
  <si>
    <t>Soproni</t>
  </si>
  <si>
    <t>Paulina</t>
  </si>
  <si>
    <t>Kövér</t>
  </si>
  <si>
    <t>Lipót</t>
  </si>
  <si>
    <t>A-0000 0638</t>
  </si>
  <si>
    <t>Anna</t>
  </si>
  <si>
    <t>Hajnalka</t>
  </si>
  <si>
    <t>Selényi</t>
  </si>
  <si>
    <t>Vida</t>
  </si>
  <si>
    <t>Gertrúd</t>
  </si>
  <si>
    <t>Szigetvári</t>
  </si>
  <si>
    <t>Titusz</t>
  </si>
  <si>
    <t>Bendegúz</t>
  </si>
  <si>
    <t>Polyák</t>
  </si>
  <si>
    <t>Simon</t>
  </si>
  <si>
    <t>C-7625 6318</t>
  </si>
  <si>
    <t>A-0026 4071</t>
  </si>
  <si>
    <t>Sárvári</t>
  </si>
  <si>
    <t>Pelle</t>
  </si>
  <si>
    <t>Krisztián</t>
  </si>
  <si>
    <t>B-1837 6085</t>
  </si>
  <si>
    <t>Annabella</t>
  </si>
  <si>
    <t>Kollár</t>
  </si>
  <si>
    <t>Petra</t>
  </si>
  <si>
    <t>A-0000 0075</t>
  </si>
  <si>
    <t>Somfai</t>
  </si>
  <si>
    <t>Bagi</t>
  </si>
  <si>
    <t>Huber</t>
  </si>
  <si>
    <t>Csaba</t>
  </si>
  <si>
    <t>C-0000 0120</t>
  </si>
  <si>
    <t>Szirtes</t>
  </si>
  <si>
    <t>György</t>
  </si>
  <si>
    <t>B-0000 0507</t>
  </si>
  <si>
    <t>Vadász</t>
  </si>
  <si>
    <t>Viktória</t>
  </si>
  <si>
    <t>Szigeti</t>
  </si>
  <si>
    <t>Zsófia</t>
  </si>
  <si>
    <t>Jankovics</t>
  </si>
  <si>
    <t>Ferenc</t>
  </si>
  <si>
    <t>Bajor</t>
  </si>
  <si>
    <t>Márton</t>
  </si>
  <si>
    <t>Jámbor</t>
  </si>
  <si>
    <t>Somogyi</t>
  </si>
  <si>
    <t>A-0000 4254</t>
  </si>
  <si>
    <t>Nagy</t>
  </si>
  <si>
    <t>Botond</t>
  </si>
  <si>
    <t>Zentai</t>
  </si>
  <si>
    <t>C-0840 6197</t>
  </si>
  <si>
    <t>Molnár</t>
  </si>
  <si>
    <t>Eke</t>
  </si>
  <si>
    <t>Irma</t>
  </si>
  <si>
    <t>Pollák</t>
  </si>
  <si>
    <t>Szilvia</t>
  </si>
  <si>
    <t>Garamvölgyi</t>
  </si>
  <si>
    <t>Földvári</t>
  </si>
  <si>
    <t>Enikő</t>
  </si>
  <si>
    <t>B-0000 7377</t>
  </si>
  <si>
    <t>Szoboszlai</t>
  </si>
  <si>
    <t>Hidvégi</t>
  </si>
  <si>
    <t>Goda</t>
  </si>
  <si>
    <t>B-0000 0098</t>
  </si>
  <si>
    <t>Hatvani</t>
  </si>
  <si>
    <t>Zsombor</t>
  </si>
  <si>
    <t>Petrányi</t>
  </si>
  <si>
    <t>C-0000 3070</t>
  </si>
  <si>
    <t>Kósa</t>
  </si>
  <si>
    <t>Rita</t>
  </si>
  <si>
    <t>B-0000 0947</t>
  </si>
  <si>
    <t>Nádor</t>
  </si>
  <si>
    <t>B-8222 0110</t>
  </si>
  <si>
    <t>A-0009 1867</t>
  </si>
  <si>
    <t>A-0000 0083</t>
  </si>
  <si>
    <t>Kinga</t>
  </si>
  <si>
    <t>Sallai</t>
  </si>
  <si>
    <t>Majoros</t>
  </si>
  <si>
    <t>A-0002 9614</t>
  </si>
  <si>
    <t>Mátrai</t>
  </si>
  <si>
    <t>B-4691 3974</t>
  </si>
  <si>
    <t>Lakos</t>
  </si>
  <si>
    <t>Liza</t>
  </si>
  <si>
    <t>Huszka</t>
  </si>
  <si>
    <t>Bakonyi</t>
  </si>
  <si>
    <t>Aladár</t>
  </si>
  <si>
    <t>Vári</t>
  </si>
  <si>
    <t>Gyulai</t>
  </si>
  <si>
    <t>A-0004 3970</t>
  </si>
  <si>
    <t>Mátyás</t>
  </si>
  <si>
    <t>Bernát</t>
  </si>
  <si>
    <t>Benő</t>
  </si>
  <si>
    <t>A-0000 0043</t>
  </si>
  <si>
    <t>Liptai</t>
  </si>
  <si>
    <t>Tihanyi</t>
  </si>
  <si>
    <t>B-0084 0060</t>
  </si>
  <si>
    <t>A-0915 9635</t>
  </si>
  <si>
    <t>Csordás</t>
  </si>
  <si>
    <t>Violetta</t>
  </si>
  <si>
    <t>A-0072 9725</t>
  </si>
  <si>
    <t>Romhányi</t>
  </si>
  <si>
    <t>B-6723 0882</t>
  </si>
  <si>
    <t>Pásztor</t>
  </si>
  <si>
    <t>A-0009 8845</t>
  </si>
  <si>
    <t>Fehérvári</t>
  </si>
  <si>
    <t>Dóra</t>
  </si>
  <si>
    <t>Ivó</t>
  </si>
  <si>
    <t>B-0000 0017</t>
  </si>
  <si>
    <t>Kosztolányi</t>
  </si>
  <si>
    <t>Beatrix</t>
  </si>
  <si>
    <t>Rigó</t>
  </si>
  <si>
    <t>Parádi</t>
  </si>
  <si>
    <t>Dominika</t>
  </si>
  <si>
    <t>Makra</t>
  </si>
  <si>
    <t>Ábrahám</t>
  </si>
  <si>
    <t>Harmat</t>
  </si>
  <si>
    <t>B-0005 9458</t>
  </si>
  <si>
    <t>A-0010 6979</t>
  </si>
  <si>
    <t>Aurél</t>
  </si>
  <si>
    <t>Magdolna</t>
  </si>
  <si>
    <t>Koncz</t>
  </si>
  <si>
    <t>A-0000 0668</t>
  </si>
  <si>
    <t>Péter</t>
  </si>
  <si>
    <t>Lánczi</t>
  </si>
  <si>
    <t>Matild</t>
  </si>
  <si>
    <t>Rónai</t>
  </si>
  <si>
    <t>Rezső</t>
  </si>
  <si>
    <t>Kökény</t>
  </si>
  <si>
    <t>Győző</t>
  </si>
  <si>
    <t>Palotás</t>
  </si>
  <si>
    <t>Elemér</t>
  </si>
  <si>
    <t>C-0083 6189</t>
  </si>
  <si>
    <t>Kalmár</t>
  </si>
  <si>
    <t>A-0000 0039</t>
  </si>
  <si>
    <t>Marietta</t>
  </si>
  <si>
    <t>Bíborka</t>
  </si>
  <si>
    <t>A-0000 3455</t>
  </si>
  <si>
    <t>B-0066 8920</t>
  </si>
  <si>
    <t>Alföldi</t>
  </si>
  <si>
    <t>C-8257 0258</t>
  </si>
  <si>
    <t>Madarász</t>
  </si>
  <si>
    <t>Kerepesi</t>
  </si>
  <si>
    <t>Országh</t>
  </si>
  <si>
    <t>Tünde</t>
  </si>
  <si>
    <t>Suba</t>
  </si>
  <si>
    <t>Jusztin</t>
  </si>
  <si>
    <t>Mező</t>
  </si>
  <si>
    <t>B-0641 5679</t>
  </si>
  <si>
    <t>B-0000 0036</t>
  </si>
  <si>
    <t>Gyenes</t>
  </si>
  <si>
    <t>Szente</t>
  </si>
  <si>
    <t>A-0008 5002</t>
  </si>
  <si>
    <t>Sárközi</t>
  </si>
  <si>
    <t>Szelei</t>
  </si>
  <si>
    <t>Emese</t>
  </si>
  <si>
    <t>Kemény</t>
  </si>
  <si>
    <t>Gabriella</t>
  </si>
  <si>
    <t>B-0009 5091</t>
  </si>
  <si>
    <t>Heller</t>
  </si>
  <si>
    <t>B-0006 8577</t>
  </si>
  <si>
    <t>C-0000 0015</t>
  </si>
  <si>
    <t>Kőszegi</t>
  </si>
  <si>
    <t>Ildikó</t>
  </si>
  <si>
    <t>Kerti</t>
  </si>
  <si>
    <t>Szekeres</t>
  </si>
  <si>
    <t>Pósa</t>
  </si>
  <si>
    <t>Jónás</t>
  </si>
  <si>
    <t>Halasi</t>
  </si>
  <si>
    <t>Barna</t>
  </si>
  <si>
    <t>Petrovics</t>
  </si>
  <si>
    <t>Éles</t>
  </si>
  <si>
    <t>Ligeti</t>
  </si>
  <si>
    <t>Mihály</t>
  </si>
  <si>
    <t>B-0000 0068</t>
  </si>
  <si>
    <t>Csenger</t>
  </si>
  <si>
    <t>Rozsnyai</t>
  </si>
  <si>
    <t>Szolnoki</t>
  </si>
  <si>
    <t>Buzsáki</t>
  </si>
  <si>
    <t>Sarolta</t>
  </si>
  <si>
    <t>Jelinek</t>
  </si>
  <si>
    <t>Emőke</t>
  </si>
  <si>
    <t>Kertes</t>
  </si>
  <si>
    <t>Pál</t>
  </si>
  <si>
    <t>Bán</t>
  </si>
  <si>
    <t>Vazul</t>
  </si>
  <si>
    <t>B-0000 0085</t>
  </si>
  <si>
    <t>B-0000 8278</t>
  </si>
  <si>
    <t>B-0000 4732</t>
  </si>
  <si>
    <t>Bertók</t>
  </si>
  <si>
    <t>C-0920 8154</t>
  </si>
  <si>
    <t>C-0000 0062</t>
  </si>
  <si>
    <t>Hilda</t>
  </si>
  <si>
    <t>Julianna</t>
  </si>
  <si>
    <t>Félix</t>
  </si>
  <si>
    <t>Béres</t>
  </si>
  <si>
    <t>Pomázi</t>
  </si>
  <si>
    <t>Árpád</t>
  </si>
  <si>
    <t>Frank</t>
  </si>
  <si>
    <t>Piros</t>
  </si>
  <si>
    <t>Császár</t>
  </si>
  <si>
    <t>Ilona</t>
  </si>
  <si>
    <t>Rácz</t>
  </si>
  <si>
    <t>Morvai</t>
  </si>
  <si>
    <t>Kútvölgyi</t>
  </si>
  <si>
    <t>B-0000 0027</t>
  </si>
  <si>
    <t>Izolda</t>
  </si>
  <si>
    <t>Fenyvesi</t>
  </si>
  <si>
    <t>Szalkai</t>
  </si>
  <si>
    <t>Deli</t>
  </si>
  <si>
    <t>A-7796 7673</t>
  </si>
  <si>
    <t>Berényi</t>
  </si>
  <si>
    <t>Helga</t>
  </si>
  <si>
    <t>Olga</t>
  </si>
  <si>
    <t>Károly</t>
  </si>
  <si>
    <t>Makai</t>
  </si>
  <si>
    <t>Végh</t>
  </si>
  <si>
    <t>Benedek</t>
  </si>
  <si>
    <t>Réti</t>
  </si>
  <si>
    <t>A-0153 1168</t>
  </si>
  <si>
    <t>Medve</t>
  </si>
  <si>
    <t>Sós</t>
  </si>
  <si>
    <t>András</t>
  </si>
  <si>
    <t>Borbély</t>
  </si>
  <si>
    <t>Svéd</t>
  </si>
  <si>
    <t>B-0000 8771</t>
  </si>
  <si>
    <t>Varga</t>
  </si>
  <si>
    <t>A-5691 1549</t>
  </si>
  <si>
    <t>Füstös</t>
  </si>
  <si>
    <t>B-0018 9458</t>
  </si>
  <si>
    <t>Gábor</t>
  </si>
  <si>
    <t>A-0000 0011</t>
  </si>
  <si>
    <t>C-0000 0028</t>
  </si>
  <si>
    <t>Elza</t>
  </si>
  <si>
    <t>Pálma</t>
  </si>
  <si>
    <t>C-0001 0985</t>
  </si>
  <si>
    <t>Hunor</t>
  </si>
  <si>
    <t>Attila</t>
  </si>
  <si>
    <t>Ottó</t>
  </si>
  <si>
    <t>B-5693 0502</t>
  </si>
  <si>
    <t>Bodó</t>
  </si>
  <si>
    <t>Sólyom</t>
  </si>
  <si>
    <t>Lukács</t>
  </si>
  <si>
    <t>Fanni</t>
  </si>
  <si>
    <t>Kádár</t>
  </si>
  <si>
    <t>A-0921 8810</t>
  </si>
  <si>
    <t>Sárkány</t>
  </si>
  <si>
    <t>C-3508 2977</t>
  </si>
  <si>
    <t>Cigány</t>
  </si>
  <si>
    <t>Ibolya</t>
  </si>
  <si>
    <t>A-0000 0971</t>
  </si>
  <si>
    <t>Jobbágy</t>
  </si>
  <si>
    <t>B-0000 1317</t>
  </si>
  <si>
    <t>Czakó</t>
  </si>
  <si>
    <t>C-0075 3754</t>
  </si>
  <si>
    <t>Várnai</t>
  </si>
  <si>
    <t>Szakács</t>
  </si>
  <si>
    <t>Móricz</t>
  </si>
  <si>
    <t>Veronika</t>
  </si>
  <si>
    <t>A-0000 0091</t>
  </si>
  <si>
    <t>Szép</t>
  </si>
  <si>
    <t>Aradi</t>
  </si>
  <si>
    <t>Agócs</t>
  </si>
  <si>
    <t>Marianna</t>
  </si>
  <si>
    <t>Lugosi</t>
  </si>
  <si>
    <t>A-0000 0610</t>
  </si>
  <si>
    <t>Dombi</t>
  </si>
  <si>
    <t>Brigitta</t>
  </si>
  <si>
    <t>Gergő</t>
  </si>
  <si>
    <t>Cseke</t>
  </si>
  <si>
    <t>Sárosi</t>
  </si>
  <si>
    <t>B-0005 4032</t>
  </si>
  <si>
    <t>Ócsai</t>
  </si>
  <si>
    <t>Sára</t>
  </si>
  <si>
    <t>Eszter</t>
  </si>
  <si>
    <t>A-9422 3610</t>
  </si>
  <si>
    <t>Sárai</t>
  </si>
  <si>
    <t>Vencel</t>
  </si>
  <si>
    <t>B-0000 0089</t>
  </si>
  <si>
    <t>Debreceni</t>
  </si>
  <si>
    <t>Zétény</t>
  </si>
  <si>
    <t>Adél</t>
  </si>
  <si>
    <t>Pongó</t>
  </si>
  <si>
    <t>B-0000 0039</t>
  </si>
  <si>
    <t>Rédei</t>
  </si>
  <si>
    <t>Enyedi</t>
  </si>
  <si>
    <t>Szegedi</t>
  </si>
  <si>
    <t>Szaniszló</t>
  </si>
  <si>
    <t>B-0003 4743</t>
  </si>
  <si>
    <t>Magyar</t>
  </si>
  <si>
    <t>Blaskó</t>
  </si>
  <si>
    <t>Orbán</t>
  </si>
  <si>
    <t>B-0003 7103</t>
  </si>
  <si>
    <t>Raffai</t>
  </si>
  <si>
    <t>Gerda</t>
  </si>
  <si>
    <t>Mónika</t>
  </si>
  <si>
    <t>A-0000 0916</t>
  </si>
  <si>
    <t>C-0062 2951</t>
  </si>
  <si>
    <t>A-0000 0028</t>
  </si>
  <si>
    <t>B-0000 5251</t>
  </si>
  <si>
    <t>D-0010 9715</t>
  </si>
  <si>
    <t>A-8076 6165</t>
  </si>
  <si>
    <t>A-5755 8515</t>
  </si>
  <si>
    <t>C-0034 2693</t>
  </si>
  <si>
    <t>A-0000 3601</t>
  </si>
  <si>
    <t>B-0000 1476</t>
  </si>
  <si>
    <t>A-0064 4768</t>
  </si>
  <si>
    <t>C-0000 0056</t>
  </si>
  <si>
    <t>A-6209 3592</t>
  </si>
  <si>
    <t>D-0000 0014</t>
  </si>
  <si>
    <t>A-0758 2093</t>
  </si>
  <si>
    <t>A-0002 6038</t>
  </si>
  <si>
    <t>A-0005 7522</t>
  </si>
  <si>
    <t>A-0000 0939</t>
  </si>
  <si>
    <t>C-0009 5090</t>
  </si>
  <si>
    <t>A-2217 3639</t>
  </si>
  <si>
    <t>D-8711 8608</t>
  </si>
  <si>
    <t>A-0000 0854</t>
  </si>
  <si>
    <t>D-0000 0081</t>
  </si>
  <si>
    <t>B-4842 9577</t>
  </si>
  <si>
    <t>C-0027 3973</t>
  </si>
  <si>
    <t>A-0277 8492</t>
  </si>
  <si>
    <t>D-0000 0813</t>
  </si>
  <si>
    <t>A-0084 0087</t>
  </si>
  <si>
    <t>D-0006 6314</t>
  </si>
  <si>
    <t>B-0013 8365</t>
  </si>
  <si>
    <t>D-0000 0013</t>
  </si>
  <si>
    <t>D-7075 8739</t>
  </si>
  <si>
    <t>D-0000 2279</t>
  </si>
  <si>
    <t>C-0000 0669</t>
  </si>
  <si>
    <t>C-0008 9695</t>
  </si>
  <si>
    <t>B-0000 1223</t>
  </si>
  <si>
    <t>C-0000 3706</t>
  </si>
  <si>
    <t>D-0076 8212</t>
  </si>
  <si>
    <t>C-5862 5836</t>
  </si>
  <si>
    <t>A-0000 0347</t>
  </si>
  <si>
    <t>D-0000 7634</t>
  </si>
  <si>
    <t>B-0000 0800</t>
  </si>
  <si>
    <t>B-0000 0016</t>
  </si>
  <si>
    <t>B-0000 0081</t>
  </si>
  <si>
    <t>B-0017 8205</t>
  </si>
  <si>
    <t>B-0097 2008</t>
  </si>
  <si>
    <t>B-0006 6538</t>
  </si>
  <si>
    <t>B-0000 0064</t>
  </si>
  <si>
    <t>B-0000 1772</t>
  </si>
  <si>
    <t>D-0000 0064</t>
  </si>
  <si>
    <t>A-3003 4836</t>
  </si>
  <si>
    <t>C-0593 2550</t>
  </si>
  <si>
    <t>A-0011 6901</t>
  </si>
  <si>
    <t>A-0048 6190</t>
  </si>
  <si>
    <t>A-0000 0054</t>
  </si>
  <si>
    <t>D-0000 0039</t>
  </si>
  <si>
    <t>D-6475 0402</t>
  </si>
  <si>
    <t>C-0006 4878</t>
  </si>
  <si>
    <t>D-8362 5269</t>
  </si>
  <si>
    <t>A-0000 0082</t>
  </si>
  <si>
    <t>C-8828 2814</t>
  </si>
  <si>
    <t>D-0000 0085</t>
  </si>
  <si>
    <t>A-0008 9104</t>
  </si>
  <si>
    <t>D-8874 9260</t>
  </si>
  <si>
    <t>B-6513 5425</t>
  </si>
  <si>
    <t>B-4652 6779</t>
  </si>
  <si>
    <t>A-8099 8348</t>
  </si>
  <si>
    <t>C-0001 9183</t>
  </si>
  <si>
    <t>C-0000 0935</t>
  </si>
  <si>
    <t>C-0000 0475</t>
  </si>
  <si>
    <t>A-0054 4545</t>
  </si>
  <si>
    <t>A-0033 2449</t>
  </si>
  <si>
    <t>D-0000 0036</t>
  </si>
  <si>
    <t>A-0000 0014</t>
  </si>
  <si>
    <t>D-0002 1255</t>
  </si>
  <si>
    <t>D-0002 5352</t>
  </si>
  <si>
    <t>D-0809 0827</t>
  </si>
  <si>
    <t>D-6134 7237</t>
  </si>
  <si>
    <t>A-2939 5590</t>
  </si>
  <si>
    <t>C-0001 9603</t>
  </si>
  <si>
    <t>B-0065 9919</t>
  </si>
  <si>
    <t>A-0000 0059</t>
  </si>
  <si>
    <t>C-0029 9991</t>
  </si>
  <si>
    <t>A-0000 6324</t>
  </si>
  <si>
    <t>A-0644 0118</t>
  </si>
  <si>
    <t>D-0000 0011</t>
  </si>
  <si>
    <t>D-0054 7547</t>
  </si>
  <si>
    <t>C-0000 0052</t>
  </si>
  <si>
    <t>B-0000 1554</t>
  </si>
  <si>
    <t>B-0248 1319</t>
  </si>
  <si>
    <t>A-0041 9357</t>
  </si>
  <si>
    <t>C-0051 3579</t>
  </si>
  <si>
    <t>C-0000 4630</t>
  </si>
  <si>
    <t>C-0000 0396</t>
  </si>
  <si>
    <t>D-0002 0224</t>
  </si>
  <si>
    <t>D-0549 1740</t>
  </si>
  <si>
    <t>C-7899 4519</t>
  </si>
  <si>
    <t>D-0041 2725</t>
  </si>
  <si>
    <t>D-0000 0077</t>
  </si>
  <si>
    <t>D-0083 6204</t>
  </si>
  <si>
    <t>B-0033 2732</t>
  </si>
  <si>
    <t>B-0679 5695</t>
  </si>
  <si>
    <t>C-0695 9590</t>
  </si>
  <si>
    <t>D-0002 0492</t>
  </si>
  <si>
    <t>D-0000 0015</t>
  </si>
  <si>
    <t>C-0000 8566</t>
  </si>
  <si>
    <t>C-0000 4321</t>
  </si>
  <si>
    <t>D-0000 0067</t>
  </si>
  <si>
    <t>B-0004 6923</t>
  </si>
  <si>
    <t>B-0028 9434</t>
  </si>
  <si>
    <t>A-0000 9849</t>
  </si>
  <si>
    <t>B-0000 0024</t>
  </si>
  <si>
    <t>C-0000 5069</t>
  </si>
  <si>
    <t>C-0259 3799</t>
  </si>
  <si>
    <t>C-0000 5443</t>
  </si>
  <si>
    <t>A-0059 5328</t>
  </si>
  <si>
    <t>A-0002 5652</t>
  </si>
  <si>
    <t>C-8101 4104</t>
  </si>
  <si>
    <t>A-0010 2989</t>
  </si>
  <si>
    <t>C-0000 8133</t>
  </si>
  <si>
    <t>D-0000 2929</t>
  </si>
  <si>
    <t>D-0022 0582</t>
  </si>
  <si>
    <t>C-0000 0050</t>
  </si>
  <si>
    <t>C-0005 6976</t>
  </si>
  <si>
    <t>B-0000 0080</t>
  </si>
  <si>
    <t>C-1048 5167</t>
  </si>
  <si>
    <t>C-0000 0745</t>
  </si>
  <si>
    <t>B-0032 5192</t>
  </si>
  <si>
    <t>D-0041 7311</t>
  </si>
  <si>
    <t>A-0025 6500</t>
  </si>
  <si>
    <t>A-0290 2633</t>
  </si>
  <si>
    <t>A-0000 0349</t>
  </si>
  <si>
    <t>A-0250 1971</t>
  </si>
  <si>
    <t>B-2080 8294</t>
  </si>
  <si>
    <t>B-0000 0078</t>
  </si>
  <si>
    <t>D-0000 0386</t>
  </si>
  <si>
    <t>B-2887 1891</t>
  </si>
  <si>
    <t>A-0000 2690</t>
  </si>
  <si>
    <t>A-0008 4129</t>
  </si>
  <si>
    <t>D-0008 5634</t>
  </si>
  <si>
    <t>C-0000 0617</t>
  </si>
  <si>
    <t>C-0003 0822</t>
  </si>
  <si>
    <t>C-0008 4016</t>
  </si>
  <si>
    <t>C-0158 3250</t>
  </si>
  <si>
    <t>A-0798 2855</t>
  </si>
  <si>
    <t>D-0003 1039</t>
  </si>
  <si>
    <t>B-0000 0361</t>
  </si>
  <si>
    <t>C-0683 7145</t>
  </si>
  <si>
    <t>C-0000 3362</t>
  </si>
  <si>
    <t>D-0000 0591</t>
  </si>
  <si>
    <t>D-0002 7024</t>
  </si>
  <si>
    <t>A-0000 0962</t>
  </si>
  <si>
    <t>A-0000 0886</t>
  </si>
  <si>
    <t>B-0005 1815</t>
  </si>
  <si>
    <t>D-0000 7243</t>
  </si>
  <si>
    <t>C-0008 0289</t>
  </si>
  <si>
    <t>D-0003 9497</t>
  </si>
  <si>
    <t>C-0006 8149</t>
  </si>
  <si>
    <t>D-0000 0218</t>
  </si>
  <si>
    <t>B-0067 3923</t>
  </si>
  <si>
    <t>C-0000 0061</t>
  </si>
  <si>
    <t>C-3275 1763</t>
  </si>
  <si>
    <t>B-0073 3268</t>
  </si>
  <si>
    <t>A-0973 3064</t>
  </si>
  <si>
    <t>C-0000 0688</t>
  </si>
  <si>
    <t>A-0080 8486</t>
  </si>
  <si>
    <t>B-8053 7690</t>
  </si>
  <si>
    <t>A-0000 0645</t>
  </si>
  <si>
    <t>D-5237 7464</t>
  </si>
  <si>
    <t>A-0000 3870</t>
  </si>
  <si>
    <t>C-0975 4433</t>
  </si>
  <si>
    <t>D-0000 0019</t>
  </si>
  <si>
    <t>B-9557 8358</t>
  </si>
  <si>
    <t>A-0000 0097</t>
  </si>
  <si>
    <t>D-0000 0093</t>
  </si>
  <si>
    <t>D-0005 4824</t>
  </si>
  <si>
    <t>A-0039 8089</t>
  </si>
  <si>
    <t>D-0000 0096</t>
  </si>
  <si>
    <t>B-0798 8402</t>
  </si>
  <si>
    <t>C-0399 4637</t>
  </si>
  <si>
    <t>C-0318 6926</t>
  </si>
  <si>
    <t>B-5741 9552</t>
  </si>
  <si>
    <t>D-0000 2367</t>
  </si>
  <si>
    <t>D-0000 0079</t>
  </si>
  <si>
    <t>C-0001 9189</t>
  </si>
  <si>
    <t>A-0000 0381</t>
  </si>
  <si>
    <t>D-0000 0099</t>
  </si>
  <si>
    <t>A-0000 0992</t>
  </si>
  <si>
    <t>D-0000 9026</t>
  </si>
  <si>
    <t>D-0000 0044</t>
  </si>
  <si>
    <t>B-0005 8965</t>
  </si>
  <si>
    <t>D-0016 5545</t>
  </si>
  <si>
    <t>D-3319 1540</t>
  </si>
  <si>
    <t>A-0006 0033</t>
  </si>
  <si>
    <t>B-0000 0201</t>
  </si>
  <si>
    <t>A-0057 8841</t>
  </si>
  <si>
    <t>A-0007 4875</t>
  </si>
  <si>
    <t>D-6696 3338</t>
  </si>
  <si>
    <t>B-0000 1676</t>
  </si>
  <si>
    <t>C-0000 3040</t>
  </si>
  <si>
    <t>D-0761 5721</t>
  </si>
  <si>
    <t>D-0001 7036</t>
  </si>
  <si>
    <t>D-0000 0908</t>
  </si>
  <si>
    <t>B-0050 8267</t>
  </si>
  <si>
    <t>D-0065 4095</t>
  </si>
  <si>
    <t>A-0000 9823</t>
  </si>
  <si>
    <t>D-0000 0818</t>
  </si>
  <si>
    <t>A-0000 0946</t>
  </si>
  <si>
    <t>B-0009 0840</t>
  </si>
  <si>
    <t>C-0883 3319</t>
  </si>
  <si>
    <t>B-0008 7619</t>
  </si>
  <si>
    <t>B-0065 9594</t>
  </si>
  <si>
    <t>B-0009 5006</t>
  </si>
  <si>
    <t>B-0000 3799</t>
  </si>
  <si>
    <t>C-0009 8156</t>
  </si>
  <si>
    <t>A-9249 6260</t>
  </si>
  <si>
    <t>B-0055 6358</t>
  </si>
  <si>
    <t>D-0000 0638</t>
  </si>
  <si>
    <t>C-0819 2858</t>
  </si>
  <si>
    <t>B-0000 0641</t>
  </si>
  <si>
    <t>C-9817 3371</t>
  </si>
  <si>
    <t>D-0000 1643</t>
  </si>
  <si>
    <t>A-0066 7223</t>
  </si>
  <si>
    <t>B-0004 6978</t>
  </si>
  <si>
    <t>A-9775 2154</t>
  </si>
  <si>
    <t>C-0438 0033</t>
  </si>
  <si>
    <t>B-0097 0367</t>
  </si>
  <si>
    <t>C-0717 6271</t>
  </si>
  <si>
    <t>A-0092 5239</t>
  </si>
  <si>
    <t>D-0117 3481</t>
  </si>
  <si>
    <t>A-0000 0947</t>
  </si>
  <si>
    <t>D-0000 0058</t>
  </si>
  <si>
    <t>B-0000 0120</t>
  </si>
  <si>
    <t>A-0104 3689</t>
  </si>
  <si>
    <t>C-0000 0966</t>
  </si>
  <si>
    <t>A-0082 6034</t>
  </si>
  <si>
    <t>D-0330 2414</t>
  </si>
  <si>
    <t>B-0010 2205</t>
  </si>
  <si>
    <t>C-0000 0282</t>
  </si>
  <si>
    <t>A-0000 9851</t>
  </si>
  <si>
    <t>D-0039 4035</t>
  </si>
  <si>
    <t>D-0000 9253</t>
  </si>
  <si>
    <t>D-0095 3694</t>
  </si>
  <si>
    <t>C-6967 2368</t>
  </si>
  <si>
    <t>A-0000 0049</t>
  </si>
  <si>
    <t>C-3939 8916</t>
  </si>
  <si>
    <t>A-0065 7330</t>
  </si>
  <si>
    <t>C-0000 0364</t>
  </si>
  <si>
    <t>C-0644 2403</t>
  </si>
  <si>
    <t>A-0000 0498</t>
  </si>
  <si>
    <t>B-0033 5410</t>
  </si>
  <si>
    <t>D-0312 0289</t>
  </si>
  <si>
    <t>A-0491 7933</t>
  </si>
  <si>
    <t>A-0004 2891</t>
  </si>
  <si>
    <t>C-0000 0548</t>
  </si>
  <si>
    <t>A-0000 0165</t>
  </si>
  <si>
    <t>C-0230 7099</t>
  </si>
  <si>
    <t>C-0000 0032</t>
  </si>
  <si>
    <t>C-0000 0043</t>
  </si>
  <si>
    <t>C-0000 7939</t>
  </si>
  <si>
    <t>A-0707 6645</t>
  </si>
  <si>
    <t>B-0004 6331</t>
  </si>
  <si>
    <t>D-0223 7750</t>
  </si>
  <si>
    <t>D-0071 3166</t>
  </si>
  <si>
    <t>C-0027 2240</t>
  </si>
  <si>
    <t>C-0008 5060</t>
  </si>
  <si>
    <t>B-7836 4317</t>
  </si>
  <si>
    <t>D-0044 1313</t>
  </si>
  <si>
    <t>A-6558 5399</t>
  </si>
  <si>
    <t>D-0000 0308</t>
  </si>
  <si>
    <t>D-0000 0074</t>
  </si>
  <si>
    <t>D-3627 0550</t>
  </si>
  <si>
    <t>C-0006 9789</t>
  </si>
  <si>
    <t>D-0000 0891</t>
  </si>
  <si>
    <t>B-0000 0221</t>
  </si>
  <si>
    <t>B-0000 0999</t>
  </si>
  <si>
    <t>D-6795 7845</t>
  </si>
  <si>
    <t>B-0688 2521</t>
  </si>
  <si>
    <t>C-0076 1156</t>
  </si>
  <si>
    <t>C-0739 8920</t>
  </si>
  <si>
    <t>D-0654 9887</t>
  </si>
  <si>
    <t>B-0000 4572</t>
  </si>
  <si>
    <t>D-0000 0047</t>
  </si>
  <si>
    <t>B-0023 7159</t>
  </si>
  <si>
    <t>D-0000 0307</t>
  </si>
  <si>
    <t>B-0000 0720</t>
  </si>
  <si>
    <t>C-0000 0925</t>
  </si>
  <si>
    <t>C-0022 9443</t>
  </si>
  <si>
    <t>D-0000 0885</t>
  </si>
  <si>
    <t>D-0000 0037</t>
  </si>
  <si>
    <t>D-0066 3645</t>
  </si>
  <si>
    <t>D-7881 2876</t>
  </si>
  <si>
    <t>A-0671 3258</t>
  </si>
  <si>
    <t>B-0001 2711</t>
  </si>
  <si>
    <t>C-0764 1522</t>
  </si>
  <si>
    <t>D-0000 0076</t>
  </si>
  <si>
    <t>C-0004 4560</t>
  </si>
  <si>
    <t>A-7929 4638</t>
  </si>
  <si>
    <t>A-0008 7437</t>
  </si>
  <si>
    <t>C-0000 0057</t>
  </si>
  <si>
    <t>D-0666 1606</t>
  </si>
  <si>
    <t>B-0071 6389</t>
  </si>
  <si>
    <t>B-6208 5471</t>
  </si>
  <si>
    <t>A-0009 4011</t>
  </si>
  <si>
    <t>C-0003 6428</t>
  </si>
  <si>
    <t>D-0004 9441</t>
  </si>
  <si>
    <t>B-0056 8313</t>
  </si>
  <si>
    <t>C-0274 0861</t>
  </si>
  <si>
    <t>A-0000 0664</t>
  </si>
  <si>
    <t>D-0005 9370</t>
  </si>
  <si>
    <t>A-0353 1313</t>
  </si>
  <si>
    <t>C-0000 0068</t>
  </si>
  <si>
    <t>D-2984 7188</t>
  </si>
  <si>
    <t>D-0083 1892</t>
  </si>
  <si>
    <t>A-0000 0429</t>
  </si>
  <si>
    <t>C-0000 9928</t>
  </si>
  <si>
    <t>D-8328 0671</t>
  </si>
  <si>
    <t>D-0400 8947</t>
  </si>
  <si>
    <t>C-0000 4673</t>
  </si>
  <si>
    <t>A-0000 2930</t>
  </si>
  <si>
    <t>B-0054 5770</t>
  </si>
  <si>
    <t>C-0000 0060</t>
  </si>
  <si>
    <t>D-0000 0441</t>
  </si>
  <si>
    <t>B-0756 0591</t>
  </si>
  <si>
    <t>D-0030 1330</t>
  </si>
  <si>
    <t>B-0000 0095</t>
  </si>
  <si>
    <t>A-0798 8401</t>
  </si>
  <si>
    <t>D-0000 9235</t>
  </si>
  <si>
    <t>C-0006 1317</t>
  </si>
  <si>
    <t>C-0000 1581</t>
  </si>
  <si>
    <t>D-0000 0170</t>
  </si>
  <si>
    <t>C-0000 0029</t>
  </si>
  <si>
    <t>D-0413 9317</t>
  </si>
  <si>
    <t>A-0000 8877</t>
  </si>
  <si>
    <t>B-0000 9246</t>
  </si>
  <si>
    <t>D-0000 0091</t>
  </si>
  <si>
    <t>A-0808 0935</t>
  </si>
  <si>
    <t>A-5864 7789</t>
  </si>
  <si>
    <t>D-3879 7051</t>
  </si>
  <si>
    <t>D-0000 0322</t>
  </si>
  <si>
    <t>C-0000 0087</t>
  </si>
  <si>
    <t>B-0004 1754</t>
  </si>
  <si>
    <t>A-0000 0470</t>
  </si>
  <si>
    <t>D-0394 9494</t>
  </si>
  <si>
    <t>D-0026 3722</t>
  </si>
  <si>
    <t>C-0008 4019</t>
  </si>
  <si>
    <t>A-0005 5634</t>
  </si>
  <si>
    <t>A-2926 5421</t>
  </si>
  <si>
    <t>D-0056 7565</t>
  </si>
  <si>
    <t>D-3652 3052</t>
  </si>
  <si>
    <t>D-0000 0972</t>
  </si>
  <si>
    <t>D-9692 9078</t>
  </si>
  <si>
    <t>D-0036 1215</t>
  </si>
  <si>
    <t>A-7500 6607</t>
  </si>
  <si>
    <t>C-0070 6728</t>
  </si>
  <si>
    <t>C-0000 1308</t>
  </si>
  <si>
    <t>D-0002 1005</t>
  </si>
  <si>
    <t>D-0006 2717</t>
  </si>
  <si>
    <t>B-0000 0051</t>
  </si>
  <si>
    <t>C-0001 3933</t>
  </si>
  <si>
    <t>D-0000 8746</t>
  </si>
  <si>
    <t>havi jövedelem</t>
  </si>
  <si>
    <t>belépett</t>
  </si>
  <si>
    <t>üzlet</t>
  </si>
  <si>
    <t>Budapest V. kerület</t>
  </si>
  <si>
    <t>Budapest I. kerület</t>
  </si>
  <si>
    <t>Budapest XXIII. kerület</t>
  </si>
  <si>
    <t>_x001F_Abony</t>
  </si>
  <si>
    <t>_x001F_Budakeszi</t>
  </si>
  <si>
    <t>_x001F_Budaörs</t>
  </si>
  <si>
    <t>_x001F_Cegléd</t>
  </si>
  <si>
    <t>_x001F_Dabas</t>
  </si>
  <si>
    <t>_x001F_Dunaharaszti</t>
  </si>
  <si>
    <t>_x001F_Dunakeszi</t>
  </si>
  <si>
    <t>_x001F_Érd</t>
  </si>
  <si>
    <t>_x001F_Göd</t>
  </si>
  <si>
    <t>_x001F_Gödöllő</t>
  </si>
  <si>
    <t>_x001F_Gyál</t>
  </si>
  <si>
    <t>_x001F_Monor</t>
  </si>
  <si>
    <t>_x001F_Nagykáta</t>
  </si>
  <si>
    <t>_x001F_Nagykőrös</t>
  </si>
  <si>
    <t>_x001F_Pécel</t>
  </si>
  <si>
    <t>_x001F_Pilisvörösvár</t>
  </si>
  <si>
    <t>_x001F_Pomáz</t>
  </si>
  <si>
    <t>_x001F_Százhalombatta</t>
  </si>
  <si>
    <t>_x001F_Szentendre</t>
  </si>
  <si>
    <t>_x001F_Szigetszentmiklós</t>
  </si>
  <si>
    <t>_x001F_Vác</t>
  </si>
  <si>
    <t>_x001F_Veresegyház</t>
  </si>
  <si>
    <t>_x001F_Acsa</t>
  </si>
  <si>
    <t>_x001F_Albertirsa</t>
  </si>
  <si>
    <t>_x001F_Alsónémedi</t>
  </si>
  <si>
    <t>_x001F_Apaj</t>
  </si>
  <si>
    <t>_x001F_Áporka</t>
  </si>
  <si>
    <t>_x001F_Bag</t>
  </si>
  <si>
    <t>_x001F_Bénye</t>
  </si>
  <si>
    <t>_x001F_Bernecebaráti</t>
  </si>
  <si>
    <t>_x001F_Biatorbágy</t>
  </si>
  <si>
    <t>_x001F_Budajenő</t>
  </si>
  <si>
    <t>_x001F_Budakalász</t>
  </si>
  <si>
    <t>_x001F_Bugyi</t>
  </si>
  <si>
    <t>_x001F_Ceglédbercel</t>
  </si>
  <si>
    <t>_x001F_Csemő</t>
  </si>
  <si>
    <t>_x001F_Csévharaszt</t>
  </si>
  <si>
    <t>_x001F_Csobánka</t>
  </si>
  <si>
    <t>_x001F_Csomád</t>
  </si>
  <si>
    <t>_x001F_Csömör</t>
  </si>
  <si>
    <t>_x001F_Csővár</t>
  </si>
  <si>
    <t>_x001F_Dánszentmiklós</t>
  </si>
  <si>
    <t>_x001F_Dány</t>
  </si>
  <si>
    <t>_x001F_Délegyháza</t>
  </si>
  <si>
    <t>_x001F_Diósd</t>
  </si>
  <si>
    <t>_x001F_Domony</t>
  </si>
  <si>
    <t>_x001F_Dömsöd</t>
  </si>
  <si>
    <t>_x001F_Dunabogdány</t>
  </si>
  <si>
    <t>_x001F_Dunavarsány</t>
  </si>
  <si>
    <t>_x001F_Ecser</t>
  </si>
  <si>
    <t>_x001F_Erdőkertes</t>
  </si>
  <si>
    <t>_x001F_Farmos</t>
  </si>
  <si>
    <t>_x001F_Felsőpakony</t>
  </si>
  <si>
    <t>_x001F_Fót</t>
  </si>
  <si>
    <t>_x001F_Galgagyörk</t>
  </si>
  <si>
    <t>_x001F_Galgahévíz</t>
  </si>
  <si>
    <t>_x001F_Galgamácsa</t>
  </si>
  <si>
    <t>_x001F_Gomba</t>
  </si>
  <si>
    <t>_x001F_Gyömrő</t>
  </si>
  <si>
    <t>_x001F_Halásztelek</t>
  </si>
  <si>
    <t>_x001F_Herceghalom</t>
  </si>
  <si>
    <t>_x001F_Hernád</t>
  </si>
  <si>
    <t>_x001F_Hévízgyörk</t>
  </si>
  <si>
    <t>_x001F_Iklad</t>
  </si>
  <si>
    <t>_x001F_Inárcs</t>
  </si>
  <si>
    <t>_x001F_Ipolydamásd</t>
  </si>
  <si>
    <t>_x001F_Ipolytölgyes</t>
  </si>
  <si>
    <t>_x001F_Isaszeg</t>
  </si>
  <si>
    <t>_x001F_Jászkarajenő</t>
  </si>
  <si>
    <t>_x001F_Kakucs</t>
  </si>
  <si>
    <t>_x001F_Kartal</t>
  </si>
  <si>
    <t>_x001F_Káva</t>
  </si>
  <si>
    <t>_x001F_Kemence</t>
  </si>
  <si>
    <t>_x001F_Kerepes</t>
  </si>
  <si>
    <t>_x001F_Kiskunlacháza</t>
  </si>
  <si>
    <t>_x001F_Kismaros</t>
  </si>
  <si>
    <t>_x001F_Kisnémedi</t>
  </si>
  <si>
    <t>_x001F_Kisoroszi</t>
  </si>
  <si>
    <t>_x001F_Kistarcsa</t>
  </si>
  <si>
    <t>_x001F_Kocsér</t>
  </si>
  <si>
    <t>_x001F_Kóka</t>
  </si>
  <si>
    <t>_x001F_Kosd</t>
  </si>
  <si>
    <t>_x001F_Kóspallag</t>
  </si>
  <si>
    <t>_x001F_Kőröstetétlen</t>
  </si>
  <si>
    <t>_x001F_Leányfalu</t>
  </si>
  <si>
    <t>_x001F_Letkés</t>
  </si>
  <si>
    <t>_x001F_Lórév</t>
  </si>
  <si>
    <t>_x001F_Maglód</t>
  </si>
  <si>
    <t>_x001F_Majosháza</t>
  </si>
  <si>
    <t>_x001F_Makád</t>
  </si>
  <si>
    <t>_x001F_Márianosztra</t>
  </si>
  <si>
    <t>_x001F_Mende</t>
  </si>
  <si>
    <t>_x001F_Mikebuda</t>
  </si>
  <si>
    <t>_x001F_Mogyoród</t>
  </si>
  <si>
    <t>_x001F_Nagybörzsöny</t>
  </si>
  <si>
    <t>_x001F_Nagykovácsi</t>
  </si>
  <si>
    <t>_x001F_Nagytarcsa</t>
  </si>
  <si>
    <t>_x001F_Nyáregyháza</t>
  </si>
  <si>
    <t>_x001F_Nyársapát</t>
  </si>
  <si>
    <t>_x001F_Ócsa</t>
  </si>
  <si>
    <t>_x001F_Őrbottyán</t>
  </si>
  <si>
    <t>_x001F_Örkény</t>
  </si>
  <si>
    <t>_x001F_Pánd</t>
  </si>
  <si>
    <t>_x001F_Páty</t>
  </si>
  <si>
    <t>_x001F_Penc</t>
  </si>
  <si>
    <t>_x001F_Perbál</t>
  </si>
  <si>
    <t>_x001F_Perőcsény</t>
  </si>
  <si>
    <t>_x001F_Péteri</t>
  </si>
  <si>
    <t>_x001F_Pilis</t>
  </si>
  <si>
    <t>_x001F_Pilisborosjenő</t>
  </si>
  <si>
    <t>_x001F_Piliscsaba</t>
  </si>
  <si>
    <t>_x001F_Pilisjászfalu</t>
  </si>
  <si>
    <t>_x001F_Pilisszántó</t>
  </si>
  <si>
    <t>_x001F_Pilisszentiván</t>
  </si>
  <si>
    <t>_x001F_Pilisszentkereszt</t>
  </si>
  <si>
    <t>_x001F_Pilisszentlászló</t>
  </si>
  <si>
    <t>_x001F_Pócsmegyer</t>
  </si>
  <si>
    <t>_x001F_Pusztavacs</t>
  </si>
  <si>
    <t>_x001F_Pusztazámor</t>
  </si>
  <si>
    <t>_x001F_Püspökhatvan</t>
  </si>
  <si>
    <t>_x001F_Püspökszilágy</t>
  </si>
  <si>
    <t>_x001F_Rád</t>
  </si>
  <si>
    <t>_x001F_Ráckeve</t>
  </si>
  <si>
    <t>_x001F_Solymár</t>
  </si>
  <si>
    <t>_x001F_Sóskút</t>
  </si>
  <si>
    <t>_x001F_Sülysáp</t>
  </si>
  <si>
    <t>_x001F_Szada</t>
  </si>
  <si>
    <t>_x001F_Szentlőrinckáta</t>
  </si>
  <si>
    <t>_x001F_Szentmártonkáta</t>
  </si>
  <si>
    <t>_x001F_Szigetbecse</t>
  </si>
  <si>
    <t>_x001F_Szigetcsép</t>
  </si>
  <si>
    <t>_x001F_Szigethalom</t>
  </si>
  <si>
    <t>_x001F_Szigetmonostor</t>
  </si>
  <si>
    <t>_x001F_Szigetszentmárton</t>
  </si>
  <si>
    <t>_x001F_Szigetújfalu</t>
  </si>
  <si>
    <t>_x001F_Szokolya</t>
  </si>
  <si>
    <t>_x001F_Sződ</t>
  </si>
  <si>
    <t>_x001F_Sződliget</t>
  </si>
  <si>
    <t>_x001F_Táborfalva</t>
  </si>
  <si>
    <t>_x001F_Tahitótfalu</t>
  </si>
  <si>
    <t>_x001F_Taksony</t>
  </si>
  <si>
    <t>_x001F_Tápióbicske</t>
  </si>
  <si>
    <t>_x001F_Tápiógyörgye</t>
  </si>
  <si>
    <t>_x001F_Tápióság</t>
  </si>
  <si>
    <t>_x001F_Tápiószecső</t>
  </si>
  <si>
    <t>_x001F_Tápiószele</t>
  </si>
  <si>
    <t>_x001F_Tápiószentmárton</t>
  </si>
  <si>
    <t>_x001F_Tápiószőlős</t>
  </si>
  <si>
    <t>_x001F_Tárnok</t>
  </si>
  <si>
    <t>_x001F_Aszód</t>
  </si>
  <si>
    <t>_x001F_Tatárszentgyörgy</t>
  </si>
  <si>
    <t>_x001F_Telki</t>
  </si>
  <si>
    <t>_x001F_Tésa</t>
  </si>
  <si>
    <t>_x001F_Tinnye</t>
  </si>
  <si>
    <t>_x001F_Tóalmás</t>
  </si>
  <si>
    <t>_x001F_Tök</t>
  </si>
  <si>
    <t>_x001F_Tököl</t>
  </si>
  <si>
    <t>_x001F_Törökbálint</t>
  </si>
  <si>
    <t>_x001F_Törtel</t>
  </si>
  <si>
    <t>_x001F_Tura</t>
  </si>
  <si>
    <t>_x001F_Újhartyán</t>
  </si>
  <si>
    <t>_x001F_Újlengyel</t>
  </si>
  <si>
    <t>_x001F_Újszilvás</t>
  </si>
  <si>
    <t>_x001F_Úri</t>
  </si>
  <si>
    <t>_x001F_Üllő</t>
  </si>
  <si>
    <t>_x001F_Üröm</t>
  </si>
  <si>
    <t>_x001F_Vácduka</t>
  </si>
  <si>
    <t>_x001F_Vácegres</t>
  </si>
  <si>
    <t>_x001F_Váchartyán</t>
  </si>
  <si>
    <t>_x001F_Váckisújfalu</t>
  </si>
  <si>
    <t>_x001F_Vácrátót</t>
  </si>
  <si>
    <t>_x001F_Vácszentlászló</t>
  </si>
  <si>
    <t>_x001F_Valkó</t>
  </si>
  <si>
    <t>_x001F_Vámosmikola</t>
  </si>
  <si>
    <t>_x001F_Vasad</t>
  </si>
  <si>
    <t>_x001F_Vecsés</t>
  </si>
  <si>
    <t>_x001F_Verőce</t>
  </si>
  <si>
    <t>_x001F_Verseg</t>
  </si>
  <si>
    <t>_x001F_Nagymaros</t>
  </si>
  <si>
    <t>_x001F_Zebegény</t>
  </si>
  <si>
    <t>_x001F_Zsámbék</t>
  </si>
  <si>
    <t>_x001F_Zsámbok</t>
  </si>
  <si>
    <t>_x001F_Szob</t>
  </si>
  <si>
    <t>_x001F_Visegrád</t>
  </si>
  <si>
    <t>személyi szám</t>
  </si>
  <si>
    <t>Az évfolyam-feltétel beírásának módja ="=I" és ="=II"!</t>
  </si>
  <si>
    <t>A táblázat banki ügyfelek listája. Hány olyan ügyfél szerepel</t>
  </si>
  <si>
    <t>a listában, [1] akinek az azonosítója A-val kezdődik, [2] akinek az</t>
  </si>
  <si>
    <t xml:space="preserve">azonosítója B-val kezdődik, [3] aki nem alvó státuszú és van </t>
  </si>
  <si>
    <t>lekötése? A kérdésre természetesen egy képlettek kell "felelni"!</t>
  </si>
  <si>
    <t>Adjuk össze, azoknak a kiemelt ügyfeleknek, az ebben az évben</t>
  </si>
  <si>
    <t xml:space="preserve">lejáró lekötéseit, akiknek azonosítója, a betű és a kötőjel után, </t>
  </si>
  <si>
    <t>négy nullával kezdődik! A táblázat nem tartalmaz lejárt lekötést.</t>
  </si>
  <si>
    <t xml:space="preserve">A táblázat egy üzlet-lánc dolgozóinak listája. Számoljuk ki </t>
  </si>
  <si>
    <t>azoknak a női dolgozóknak az átlagbérét, akik az üzlettel</t>
  </si>
  <si>
    <t>azonos településen laknak és már több mint öt éve a vállalat-</t>
  </si>
  <si>
    <t xml:space="preserve">nál dolgoznak! Utóbbi két kritériumot képlet-feltétellel </t>
  </si>
  <si>
    <t>határozzuk meg! A számítást ötezres pontosággal végezük!</t>
  </si>
  <si>
    <t>A számítás pontosságát a TÖBBSZ.KEREKÍT függvénnyel</t>
  </si>
  <si>
    <t>állíthatjuk be</t>
  </si>
  <si>
    <t>Van-e olyan férfi munkatársa a dunaharaszti üzletnek, aki</t>
  </si>
  <si>
    <t>helyben lakik? És ha van, mi a neve?</t>
  </si>
  <si>
    <t xml:space="preserve">Hozzunk létre feltétel-tartományt, amely lehetőséget teremt  </t>
  </si>
  <si>
    <t xml:space="preserve">meghatározott évfolyam, meghatározott osztályának egy meghatározott </t>
  </si>
  <si>
    <t>tantárgy maximális pontszámának megállapítására!</t>
  </si>
  <si>
    <t xml:space="preserve">Alakítsuk át a feltétel-tartományt úgy, hogy meg tudjuk </t>
  </si>
  <si>
    <t xml:space="preserve">állapítani az első és a második évfolyam diákjai közül hányan </t>
  </si>
  <si>
    <t>értek el kétszáz és kettőszázötven közötti pontszámot</t>
  </si>
  <si>
    <t>a határértékeket is beleértve!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</si>
</sst>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&quot;HUF&quot;_-;\-* #,##0\ &quot;HUF&quot;_-;_-* &quot;-&quot;\ &quot;HUF&quot;_-;_-@_-"/>
    <numFmt numFmtId="165" formatCode="_-* #,##0\ _H_U_F_-;\-* #,##0\ _H_U_F_-;_-* &quot;-&quot;\ _H_U_F_-;_-@_-"/>
    <numFmt numFmtId="166" formatCode="0000"/>
  </numFmts>
  <fonts count="7" x14ac:knownFonts="1">
    <font>
      <sz val="9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1" fillId="0" borderId="0" xfId="0" applyFont="1"/>
    <xf numFmtId="1" fontId="1" fillId="0" borderId="0" xfId="0" applyNumberFormat="1" applyFont="1"/>
    <xf numFmtId="14" fontId="1" fillId="0" borderId="0" xfId="0" applyNumberFormat="1" applyFont="1"/>
    <xf numFmtId="0" fontId="0" fillId="0" borderId="0" xfId="0" applyBorder="1"/>
    <xf numFmtId="0" fontId="0" fillId="0" borderId="0" xfId="0"/>
    <xf numFmtId="0" fontId="0" fillId="0" borderId="0" xfId="0" applyFont="1" applyFill="1" applyBorder="1"/>
    <xf numFmtId="3" fontId="0" fillId="0" borderId="0" xfId="0" applyNumberFormat="1" applyFont="1"/>
    <xf numFmtId="14" fontId="0" fillId="0" borderId="0" xfId="0" applyNumberFormat="1"/>
    <xf numFmtId="3" fontId="0" fillId="0" borderId="0" xfId="0" applyNumberForma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</cellXfs>
  <cellStyles count="4">
    <cellStyle name="Ezres [0]" xfId="1" builtinId="6" hidden="1"/>
    <cellStyle name="Normál" xfId="0" builtinId="0"/>
    <cellStyle name="Normál 12" xfId="3"/>
    <cellStyle name="Pénznem [0]" xfId="2" builtinId="7" hidden="1"/>
  </cellStyles>
  <dxfs count="0"/>
  <tableStyles count="0" defaultTableStyle="TableStyleMedium2" defaultPivotStyle="PivotStyleLight16"/>
  <colors>
    <mruColors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6"/>
  <sheetViews>
    <sheetView tabSelected="1" workbookViewId="0">
      <selection activeCell="I19" sqref="I19"/>
    </sheetView>
  </sheetViews>
  <sheetFormatPr defaultRowHeight="12" x14ac:dyDescent="0.2"/>
  <cols>
    <col min="1" max="1" width="19.83203125" customWidth="1"/>
    <col min="2" max="4" width="11.83203125" customWidth="1"/>
    <col min="5" max="5" width="19.83203125" customWidth="1"/>
    <col min="6" max="6" width="11.83203125" customWidth="1"/>
  </cols>
  <sheetData>
    <row r="1" spans="1:12" x14ac:dyDescent="0.2">
      <c r="A1" s="21" t="s">
        <v>413</v>
      </c>
      <c r="B1" s="21" t="s">
        <v>414</v>
      </c>
      <c r="C1" s="21" t="s">
        <v>0</v>
      </c>
      <c r="D1" s="21" t="s">
        <v>1</v>
      </c>
      <c r="E1" s="21" t="s">
        <v>415</v>
      </c>
      <c r="F1" s="21" t="s">
        <v>416</v>
      </c>
    </row>
    <row r="2" spans="1:12" x14ac:dyDescent="0.2">
      <c r="A2" s="6" t="s">
        <v>384</v>
      </c>
      <c r="B2" s="4">
        <v>380</v>
      </c>
      <c r="C2" s="2" t="s">
        <v>2307</v>
      </c>
      <c r="D2" s="2" t="s">
        <v>5</v>
      </c>
      <c r="E2" s="5" t="s">
        <v>410</v>
      </c>
      <c r="F2" s="2">
        <v>143</v>
      </c>
      <c r="I2" s="11"/>
      <c r="J2" s="11"/>
      <c r="K2" s="11"/>
      <c r="L2" s="11"/>
    </row>
    <row r="3" spans="1:12" x14ac:dyDescent="0.2">
      <c r="A3" s="6" t="s">
        <v>205</v>
      </c>
      <c r="B3" s="4">
        <v>201</v>
      </c>
      <c r="C3" s="2" t="s">
        <v>2308</v>
      </c>
      <c r="D3" s="2" t="s">
        <v>2</v>
      </c>
      <c r="E3" s="5" t="s">
        <v>409</v>
      </c>
      <c r="F3" s="2">
        <v>224</v>
      </c>
      <c r="H3" s="17" t="s">
        <v>3583</v>
      </c>
      <c r="J3" s="2"/>
    </row>
    <row r="4" spans="1:12" x14ac:dyDescent="0.2">
      <c r="A4" s="6" t="s">
        <v>250</v>
      </c>
      <c r="B4" s="4">
        <v>246</v>
      </c>
      <c r="C4" s="2" t="s">
        <v>2308</v>
      </c>
      <c r="D4" s="2" t="s">
        <v>4</v>
      </c>
      <c r="E4" s="6" t="s">
        <v>408</v>
      </c>
      <c r="F4" s="2">
        <v>202</v>
      </c>
      <c r="H4" s="17" t="s">
        <v>3584</v>
      </c>
      <c r="J4" s="3"/>
    </row>
    <row r="5" spans="1:12" x14ac:dyDescent="0.2">
      <c r="A5" s="6" t="s">
        <v>265</v>
      </c>
      <c r="B5" s="4">
        <v>261</v>
      </c>
      <c r="C5" s="2" t="s">
        <v>2308</v>
      </c>
      <c r="D5" s="2" t="s">
        <v>4</v>
      </c>
      <c r="E5" s="5" t="s">
        <v>410</v>
      </c>
      <c r="F5" s="2">
        <v>210</v>
      </c>
      <c r="H5" s="17" t="s">
        <v>3585</v>
      </c>
      <c r="J5" s="13"/>
    </row>
    <row r="6" spans="1:12" x14ac:dyDescent="0.2">
      <c r="A6" s="6" t="s">
        <v>303</v>
      </c>
      <c r="B6" s="4">
        <v>299</v>
      </c>
      <c r="C6" s="2" t="s">
        <v>2307</v>
      </c>
      <c r="D6" s="2" t="s">
        <v>2</v>
      </c>
      <c r="E6" s="5" t="s">
        <v>410</v>
      </c>
      <c r="F6" s="2">
        <v>234</v>
      </c>
      <c r="I6" s="11"/>
      <c r="J6" s="11"/>
      <c r="K6" s="11"/>
      <c r="L6" s="11"/>
    </row>
    <row r="7" spans="1:12" x14ac:dyDescent="0.2">
      <c r="A7" s="6" t="s">
        <v>31</v>
      </c>
      <c r="B7" s="4">
        <v>26</v>
      </c>
      <c r="C7" s="2" t="s">
        <v>2309</v>
      </c>
      <c r="D7" s="2" t="s">
        <v>2</v>
      </c>
      <c r="E7" s="5" t="s">
        <v>410</v>
      </c>
      <c r="F7" s="2">
        <v>156</v>
      </c>
      <c r="H7" s="17" t="s">
        <v>3586</v>
      </c>
    </row>
    <row r="8" spans="1:12" x14ac:dyDescent="0.2">
      <c r="A8" s="6" t="s">
        <v>236</v>
      </c>
      <c r="B8" s="4">
        <v>232</v>
      </c>
      <c r="C8" s="2" t="s">
        <v>2308</v>
      </c>
      <c r="D8" s="2" t="s">
        <v>3</v>
      </c>
      <c r="E8" s="7" t="s">
        <v>409</v>
      </c>
      <c r="F8" s="2">
        <v>149</v>
      </c>
      <c r="H8" s="17" t="s">
        <v>3587</v>
      </c>
    </row>
    <row r="9" spans="1:12" x14ac:dyDescent="0.2">
      <c r="A9" s="6" t="s">
        <v>91</v>
      </c>
      <c r="B9" s="4">
        <v>86</v>
      </c>
      <c r="C9" s="2" t="s">
        <v>2309</v>
      </c>
      <c r="D9" s="2" t="s">
        <v>5</v>
      </c>
      <c r="E9" s="5" t="s">
        <v>408</v>
      </c>
      <c r="F9" s="2">
        <v>151</v>
      </c>
      <c r="H9" s="17" t="s">
        <v>3588</v>
      </c>
    </row>
    <row r="10" spans="1:12" x14ac:dyDescent="0.2">
      <c r="A10" s="6" t="s">
        <v>181</v>
      </c>
      <c r="B10" s="4">
        <v>176</v>
      </c>
      <c r="C10" s="2" t="s">
        <v>2310</v>
      </c>
      <c r="D10" s="2" t="s">
        <v>5</v>
      </c>
      <c r="E10" s="5" t="s">
        <v>412</v>
      </c>
      <c r="F10" s="2">
        <v>178</v>
      </c>
      <c r="H10" s="17" t="s">
        <v>3589</v>
      </c>
    </row>
    <row r="11" spans="1:12" x14ac:dyDescent="0.2">
      <c r="A11" s="6" t="s">
        <v>218</v>
      </c>
      <c r="B11" s="4">
        <v>214</v>
      </c>
      <c r="C11" s="2" t="s">
        <v>2308</v>
      </c>
      <c r="D11" s="2" t="s">
        <v>2</v>
      </c>
      <c r="E11" s="5" t="s">
        <v>410</v>
      </c>
      <c r="F11" s="2">
        <v>203</v>
      </c>
    </row>
    <row r="12" spans="1:12" x14ac:dyDescent="0.2">
      <c r="A12" s="6" t="s">
        <v>43</v>
      </c>
      <c r="B12" s="4">
        <v>38</v>
      </c>
      <c r="C12" s="2" t="s">
        <v>2309</v>
      </c>
      <c r="D12" s="2" t="s">
        <v>3</v>
      </c>
      <c r="E12" s="5" t="s">
        <v>408</v>
      </c>
      <c r="F12" s="2">
        <v>197</v>
      </c>
      <c r="H12" s="18" t="s">
        <v>3566</v>
      </c>
    </row>
    <row r="13" spans="1:12" x14ac:dyDescent="0.2">
      <c r="A13" s="6" t="s">
        <v>328</v>
      </c>
      <c r="B13" s="4">
        <v>324</v>
      </c>
      <c r="C13" s="2" t="s">
        <v>2307</v>
      </c>
      <c r="D13" s="2" t="s">
        <v>2</v>
      </c>
      <c r="E13" s="5" t="s">
        <v>411</v>
      </c>
      <c r="F13" s="2">
        <v>287</v>
      </c>
    </row>
    <row r="14" spans="1:12" x14ac:dyDescent="0.2">
      <c r="A14" s="6" t="s">
        <v>359</v>
      </c>
      <c r="B14" s="4">
        <v>355</v>
      </c>
      <c r="C14" s="2" t="s">
        <v>2307</v>
      </c>
      <c r="D14" s="2" t="s">
        <v>4</v>
      </c>
      <c r="E14" s="5" t="s">
        <v>409</v>
      </c>
      <c r="F14" s="2">
        <v>254</v>
      </c>
      <c r="H14" s="17"/>
    </row>
    <row r="15" spans="1:12" x14ac:dyDescent="0.2">
      <c r="A15" s="6" t="s">
        <v>71</v>
      </c>
      <c r="B15" s="4">
        <v>66</v>
      </c>
      <c r="C15" s="2" t="s">
        <v>2309</v>
      </c>
      <c r="D15" s="2" t="s">
        <v>4</v>
      </c>
      <c r="E15" s="5" t="s">
        <v>411</v>
      </c>
      <c r="F15" s="2">
        <v>221</v>
      </c>
      <c r="H15" s="17"/>
    </row>
    <row r="16" spans="1:12" x14ac:dyDescent="0.2">
      <c r="A16" s="6" t="s">
        <v>375</v>
      </c>
      <c r="B16" s="4">
        <v>371</v>
      </c>
      <c r="C16" s="2" t="s">
        <v>2307</v>
      </c>
      <c r="D16" s="2" t="s">
        <v>4</v>
      </c>
      <c r="E16" s="5" t="s">
        <v>412</v>
      </c>
      <c r="F16" s="2">
        <v>186</v>
      </c>
    </row>
    <row r="17" spans="1:8" x14ac:dyDescent="0.2">
      <c r="A17" s="6" t="s">
        <v>222</v>
      </c>
      <c r="B17" s="4">
        <v>218</v>
      </c>
      <c r="C17" s="2" t="s">
        <v>2308</v>
      </c>
      <c r="D17" s="2" t="s">
        <v>3</v>
      </c>
      <c r="E17" s="7" t="s">
        <v>409</v>
      </c>
      <c r="F17" s="2">
        <v>245</v>
      </c>
      <c r="H17" s="17"/>
    </row>
    <row r="18" spans="1:8" x14ac:dyDescent="0.2">
      <c r="A18" s="6" t="s">
        <v>347</v>
      </c>
      <c r="B18" s="4">
        <v>343</v>
      </c>
      <c r="C18" s="2" t="s">
        <v>2307</v>
      </c>
      <c r="D18" s="2" t="s">
        <v>3</v>
      </c>
      <c r="E18" s="5" t="s">
        <v>408</v>
      </c>
      <c r="F18" s="2">
        <v>289</v>
      </c>
      <c r="H18" s="19"/>
    </row>
    <row r="19" spans="1:8" x14ac:dyDescent="0.2">
      <c r="A19" s="6" t="s">
        <v>188</v>
      </c>
      <c r="B19" s="4">
        <v>183</v>
      </c>
      <c r="C19" s="2" t="s">
        <v>2310</v>
      </c>
      <c r="D19" s="2" t="s">
        <v>5</v>
      </c>
      <c r="E19" s="5" t="s">
        <v>411</v>
      </c>
      <c r="F19" s="2">
        <v>298</v>
      </c>
      <c r="H19" s="19"/>
    </row>
    <row r="20" spans="1:8" x14ac:dyDescent="0.2">
      <c r="A20" s="6" t="s">
        <v>382</v>
      </c>
      <c r="B20" s="4">
        <v>378</v>
      </c>
      <c r="C20" s="2" t="s">
        <v>2307</v>
      </c>
      <c r="D20" s="2" t="s">
        <v>5</v>
      </c>
      <c r="E20" s="5" t="s">
        <v>412</v>
      </c>
      <c r="F20" s="2">
        <v>285</v>
      </c>
    </row>
    <row r="21" spans="1:8" x14ac:dyDescent="0.2">
      <c r="A21" s="6" t="s">
        <v>351</v>
      </c>
      <c r="B21" s="4">
        <v>347</v>
      </c>
      <c r="C21" s="2" t="s">
        <v>2307</v>
      </c>
      <c r="D21" s="2" t="s">
        <v>3</v>
      </c>
      <c r="E21" s="5" t="s">
        <v>412</v>
      </c>
      <c r="F21" s="2">
        <v>284</v>
      </c>
    </row>
    <row r="22" spans="1:8" x14ac:dyDescent="0.2">
      <c r="A22" s="6" t="s">
        <v>198</v>
      </c>
      <c r="B22" s="4">
        <v>194</v>
      </c>
      <c r="C22" s="2" t="s">
        <v>2308</v>
      </c>
      <c r="D22" s="2" t="s">
        <v>2</v>
      </c>
      <c r="E22" s="5" t="s">
        <v>409</v>
      </c>
      <c r="F22" s="2">
        <v>159</v>
      </c>
    </row>
    <row r="23" spans="1:8" x14ac:dyDescent="0.2">
      <c r="A23" s="6" t="s">
        <v>330</v>
      </c>
      <c r="B23" s="4">
        <v>326</v>
      </c>
      <c r="C23" s="2" t="s">
        <v>2307</v>
      </c>
      <c r="D23" s="2" t="s">
        <v>3</v>
      </c>
      <c r="E23" s="5" t="s">
        <v>409</v>
      </c>
      <c r="F23" s="2">
        <v>262</v>
      </c>
    </row>
    <row r="24" spans="1:8" x14ac:dyDescent="0.2">
      <c r="A24" s="6" t="s">
        <v>51</v>
      </c>
      <c r="B24" s="4">
        <v>46</v>
      </c>
      <c r="C24" s="2" t="s">
        <v>2309</v>
      </c>
      <c r="D24" s="2" t="s">
        <v>3</v>
      </c>
      <c r="E24" s="5" t="s">
        <v>412</v>
      </c>
      <c r="F24" s="2">
        <v>179</v>
      </c>
    </row>
    <row r="25" spans="1:8" x14ac:dyDescent="0.2">
      <c r="A25" s="6" t="s">
        <v>167</v>
      </c>
      <c r="B25" s="4">
        <v>162</v>
      </c>
      <c r="C25" s="2" t="s">
        <v>2310</v>
      </c>
      <c r="D25" s="2" t="s">
        <v>4</v>
      </c>
      <c r="E25" s="5" t="s">
        <v>410</v>
      </c>
      <c r="F25" s="2">
        <v>259</v>
      </c>
    </row>
    <row r="26" spans="1:8" x14ac:dyDescent="0.2">
      <c r="A26" s="6" t="s">
        <v>204</v>
      </c>
      <c r="B26" s="4">
        <v>200</v>
      </c>
      <c r="C26" s="2" t="s">
        <v>2308</v>
      </c>
      <c r="D26" s="2" t="s">
        <v>2</v>
      </c>
      <c r="E26" s="5" t="s">
        <v>409</v>
      </c>
      <c r="F26" s="2">
        <v>138</v>
      </c>
    </row>
    <row r="27" spans="1:8" x14ac:dyDescent="0.2">
      <c r="A27" s="6" t="s">
        <v>94</v>
      </c>
      <c r="B27" s="4">
        <v>89</v>
      </c>
      <c r="C27" s="2" t="s">
        <v>2309</v>
      </c>
      <c r="D27" s="2" t="s">
        <v>5</v>
      </c>
      <c r="E27" s="5" t="s">
        <v>412</v>
      </c>
      <c r="F27" s="2">
        <v>205</v>
      </c>
    </row>
    <row r="28" spans="1:8" x14ac:dyDescent="0.2">
      <c r="A28" s="6" t="s">
        <v>381</v>
      </c>
      <c r="B28" s="4">
        <v>377</v>
      </c>
      <c r="C28" s="2" t="s">
        <v>2307</v>
      </c>
      <c r="D28" s="2" t="s">
        <v>5</v>
      </c>
      <c r="E28" s="5" t="s">
        <v>411</v>
      </c>
      <c r="F28" s="2">
        <v>238</v>
      </c>
    </row>
    <row r="29" spans="1:8" x14ac:dyDescent="0.2">
      <c r="A29" s="6" t="s">
        <v>105</v>
      </c>
      <c r="B29" s="4">
        <v>100</v>
      </c>
      <c r="C29" s="2" t="s">
        <v>2310</v>
      </c>
      <c r="D29" s="2" t="s">
        <v>2</v>
      </c>
      <c r="E29" s="5" t="s">
        <v>412</v>
      </c>
      <c r="F29" s="2">
        <v>208</v>
      </c>
    </row>
    <row r="30" spans="1:8" x14ac:dyDescent="0.2">
      <c r="A30" s="6" t="s">
        <v>145</v>
      </c>
      <c r="B30" s="4">
        <v>140</v>
      </c>
      <c r="C30" s="2" t="s">
        <v>2310</v>
      </c>
      <c r="D30" s="2" t="s">
        <v>3</v>
      </c>
      <c r="E30" s="6" t="s">
        <v>408</v>
      </c>
      <c r="F30" s="2">
        <v>256</v>
      </c>
    </row>
    <row r="31" spans="1:8" x14ac:dyDescent="0.2">
      <c r="A31" s="6" t="s">
        <v>367</v>
      </c>
      <c r="B31" s="4">
        <v>363</v>
      </c>
      <c r="C31" s="2" t="s">
        <v>2307</v>
      </c>
      <c r="D31" s="2" t="s">
        <v>4</v>
      </c>
      <c r="E31" s="5" t="s">
        <v>408</v>
      </c>
      <c r="F31" s="2">
        <v>157</v>
      </c>
    </row>
    <row r="32" spans="1:8" x14ac:dyDescent="0.2">
      <c r="A32" s="6" t="s">
        <v>132</v>
      </c>
      <c r="B32" s="4">
        <v>127</v>
      </c>
      <c r="C32" s="2" t="s">
        <v>2310</v>
      </c>
      <c r="D32" s="2" t="s">
        <v>3</v>
      </c>
      <c r="E32" s="6" t="s">
        <v>408</v>
      </c>
      <c r="F32" s="2">
        <v>153</v>
      </c>
    </row>
    <row r="33" spans="1:6" x14ac:dyDescent="0.2">
      <c r="A33" s="6" t="s">
        <v>233</v>
      </c>
      <c r="B33" s="4">
        <v>229</v>
      </c>
      <c r="C33" s="2" t="s">
        <v>2308</v>
      </c>
      <c r="D33" s="2" t="s">
        <v>3</v>
      </c>
      <c r="E33" s="6" t="s">
        <v>408</v>
      </c>
      <c r="F33" s="2">
        <v>178</v>
      </c>
    </row>
    <row r="34" spans="1:6" x14ac:dyDescent="0.2">
      <c r="A34" s="6" t="s">
        <v>297</v>
      </c>
      <c r="B34" s="4">
        <v>293</v>
      </c>
      <c r="C34" s="2" t="s">
        <v>2308</v>
      </c>
      <c r="D34" s="2" t="s">
        <v>5</v>
      </c>
      <c r="E34" s="6" t="s">
        <v>408</v>
      </c>
      <c r="F34" s="2">
        <v>149</v>
      </c>
    </row>
    <row r="35" spans="1:6" x14ac:dyDescent="0.2">
      <c r="A35" s="6" t="s">
        <v>211</v>
      </c>
      <c r="B35" s="4">
        <v>207</v>
      </c>
      <c r="C35" s="2" t="s">
        <v>2308</v>
      </c>
      <c r="D35" s="2" t="s">
        <v>2</v>
      </c>
      <c r="E35" s="5" t="s">
        <v>410</v>
      </c>
      <c r="F35" s="2">
        <v>170</v>
      </c>
    </row>
    <row r="36" spans="1:6" x14ac:dyDescent="0.2">
      <c r="A36" s="6" t="s">
        <v>154</v>
      </c>
      <c r="B36" s="4">
        <v>149</v>
      </c>
      <c r="C36" s="2" t="s">
        <v>2310</v>
      </c>
      <c r="D36" s="2" t="s">
        <v>4</v>
      </c>
      <c r="E36" s="5" t="s">
        <v>411</v>
      </c>
      <c r="F36" s="2">
        <v>194</v>
      </c>
    </row>
    <row r="37" spans="1:6" x14ac:dyDescent="0.2">
      <c r="A37" s="6" t="s">
        <v>207</v>
      </c>
      <c r="B37" s="4">
        <v>203</v>
      </c>
      <c r="C37" s="2" t="s">
        <v>2308</v>
      </c>
      <c r="D37" s="2" t="s">
        <v>2</v>
      </c>
      <c r="E37" s="5" t="s">
        <v>411</v>
      </c>
      <c r="F37" s="2">
        <v>199</v>
      </c>
    </row>
    <row r="38" spans="1:6" x14ac:dyDescent="0.2">
      <c r="A38" s="6" t="s">
        <v>341</v>
      </c>
      <c r="B38" s="4">
        <v>337</v>
      </c>
      <c r="C38" s="2" t="s">
        <v>2307</v>
      </c>
      <c r="D38" s="2" t="s">
        <v>3</v>
      </c>
      <c r="E38" s="5" t="s">
        <v>412</v>
      </c>
      <c r="F38" s="2">
        <v>120</v>
      </c>
    </row>
    <row r="39" spans="1:6" x14ac:dyDescent="0.2">
      <c r="A39" s="6" t="s">
        <v>355</v>
      </c>
      <c r="B39" s="4">
        <v>351</v>
      </c>
      <c r="C39" s="2" t="s">
        <v>2307</v>
      </c>
      <c r="D39" s="2" t="s">
        <v>3</v>
      </c>
      <c r="E39" s="5" t="s">
        <v>410</v>
      </c>
      <c r="F39" s="2">
        <v>144</v>
      </c>
    </row>
    <row r="40" spans="1:6" x14ac:dyDescent="0.2">
      <c r="A40" s="6" t="s">
        <v>183</v>
      </c>
      <c r="B40" s="4">
        <v>178</v>
      </c>
      <c r="C40" s="2" t="s">
        <v>2310</v>
      </c>
      <c r="D40" s="2" t="s">
        <v>5</v>
      </c>
      <c r="E40" s="5" t="s">
        <v>412</v>
      </c>
      <c r="F40" s="2">
        <v>252</v>
      </c>
    </row>
    <row r="41" spans="1:6" x14ac:dyDescent="0.2">
      <c r="A41" s="6" t="s">
        <v>300</v>
      </c>
      <c r="B41" s="4">
        <v>296</v>
      </c>
      <c r="C41" s="2" t="s">
        <v>2307</v>
      </c>
      <c r="D41" s="2" t="s">
        <v>2</v>
      </c>
      <c r="E41" s="5" t="s">
        <v>409</v>
      </c>
      <c r="F41" s="2">
        <v>283</v>
      </c>
    </row>
    <row r="42" spans="1:6" x14ac:dyDescent="0.2">
      <c r="A42" s="6" t="s">
        <v>323</v>
      </c>
      <c r="B42" s="4">
        <v>319</v>
      </c>
      <c r="C42" s="2" t="s">
        <v>2307</v>
      </c>
      <c r="D42" s="2" t="s">
        <v>2</v>
      </c>
      <c r="E42" s="5" t="s">
        <v>408</v>
      </c>
      <c r="F42" s="2">
        <v>229</v>
      </c>
    </row>
    <row r="43" spans="1:6" x14ac:dyDescent="0.2">
      <c r="A43" s="6" t="s">
        <v>261</v>
      </c>
      <c r="B43" s="4">
        <v>257</v>
      </c>
      <c r="C43" s="2" t="s">
        <v>2308</v>
      </c>
      <c r="D43" s="2" t="s">
        <v>4</v>
      </c>
      <c r="E43" s="6" t="s">
        <v>408</v>
      </c>
      <c r="F43" s="2">
        <v>278</v>
      </c>
    </row>
    <row r="44" spans="1:6" x14ac:dyDescent="0.2">
      <c r="A44" s="6" t="s">
        <v>330</v>
      </c>
      <c r="B44" s="4">
        <v>326</v>
      </c>
      <c r="C44" s="2" t="s">
        <v>2307</v>
      </c>
      <c r="D44" s="2" t="s">
        <v>3</v>
      </c>
      <c r="E44" s="5" t="s">
        <v>410</v>
      </c>
      <c r="F44" s="2">
        <v>207</v>
      </c>
    </row>
    <row r="45" spans="1:6" x14ac:dyDescent="0.2">
      <c r="A45" s="6" t="s">
        <v>103</v>
      </c>
      <c r="B45" s="4">
        <v>98</v>
      </c>
      <c r="C45" s="2" t="s">
        <v>2309</v>
      </c>
      <c r="D45" s="2" t="s">
        <v>5</v>
      </c>
      <c r="E45" s="5" t="s">
        <v>409</v>
      </c>
      <c r="F45" s="2">
        <v>191</v>
      </c>
    </row>
    <row r="46" spans="1:6" x14ac:dyDescent="0.2">
      <c r="A46" s="6" t="s">
        <v>158</v>
      </c>
      <c r="B46" s="4">
        <v>153</v>
      </c>
      <c r="C46" s="2" t="s">
        <v>2310</v>
      </c>
      <c r="D46" s="2" t="s">
        <v>4</v>
      </c>
      <c r="E46" s="5" t="s">
        <v>411</v>
      </c>
      <c r="F46" s="2">
        <v>123</v>
      </c>
    </row>
    <row r="47" spans="1:6" x14ac:dyDescent="0.2">
      <c r="A47" s="6" t="s">
        <v>95</v>
      </c>
      <c r="B47" s="4">
        <v>90</v>
      </c>
      <c r="C47" s="2" t="s">
        <v>2309</v>
      </c>
      <c r="D47" s="2" t="s">
        <v>5</v>
      </c>
      <c r="E47" s="5" t="s">
        <v>410</v>
      </c>
      <c r="F47" s="2">
        <v>206</v>
      </c>
    </row>
    <row r="48" spans="1:6" x14ac:dyDescent="0.2">
      <c r="A48" s="6" t="s">
        <v>331</v>
      </c>
      <c r="B48" s="4">
        <v>327</v>
      </c>
      <c r="C48" s="2" t="s">
        <v>2307</v>
      </c>
      <c r="D48" s="2" t="s">
        <v>3</v>
      </c>
      <c r="E48" s="5" t="s">
        <v>408</v>
      </c>
      <c r="F48" s="2">
        <v>291</v>
      </c>
    </row>
    <row r="49" spans="1:6" x14ac:dyDescent="0.2">
      <c r="A49" s="6" t="s">
        <v>174</v>
      </c>
      <c r="B49" s="4">
        <v>169</v>
      </c>
      <c r="C49" s="2" t="s">
        <v>2310</v>
      </c>
      <c r="D49" s="2" t="s">
        <v>5</v>
      </c>
      <c r="E49" s="7" t="s">
        <v>410</v>
      </c>
      <c r="F49" s="2">
        <v>227</v>
      </c>
    </row>
    <row r="50" spans="1:6" x14ac:dyDescent="0.2">
      <c r="A50" s="6" t="s">
        <v>122</v>
      </c>
      <c r="B50" s="4">
        <v>117</v>
      </c>
      <c r="C50" s="2" t="s">
        <v>2310</v>
      </c>
      <c r="D50" s="2" t="s">
        <v>2</v>
      </c>
      <c r="E50" s="5" t="s">
        <v>412</v>
      </c>
      <c r="F50" s="2">
        <v>267</v>
      </c>
    </row>
    <row r="51" spans="1:6" x14ac:dyDescent="0.2">
      <c r="A51" s="6" t="s">
        <v>275</v>
      </c>
      <c r="B51" s="4">
        <v>271</v>
      </c>
      <c r="C51" s="2" t="s">
        <v>2308</v>
      </c>
      <c r="D51" s="2" t="s">
        <v>5</v>
      </c>
      <c r="E51" s="5" t="s">
        <v>410</v>
      </c>
      <c r="F51" s="2">
        <v>285</v>
      </c>
    </row>
    <row r="52" spans="1:6" x14ac:dyDescent="0.2">
      <c r="A52" s="6" t="s">
        <v>178</v>
      </c>
      <c r="B52" s="4">
        <v>173</v>
      </c>
      <c r="C52" s="2" t="s">
        <v>2310</v>
      </c>
      <c r="D52" s="2" t="s">
        <v>5</v>
      </c>
      <c r="E52" s="7" t="s">
        <v>409</v>
      </c>
      <c r="F52" s="2">
        <v>184</v>
      </c>
    </row>
    <row r="53" spans="1:6" x14ac:dyDescent="0.2">
      <c r="A53" s="6" t="s">
        <v>323</v>
      </c>
      <c r="B53" s="4">
        <v>319</v>
      </c>
      <c r="C53" s="2" t="s">
        <v>2307</v>
      </c>
      <c r="D53" s="2" t="s">
        <v>2</v>
      </c>
      <c r="E53" s="5" t="s">
        <v>410</v>
      </c>
      <c r="F53" s="2">
        <v>151</v>
      </c>
    </row>
    <row r="54" spans="1:6" x14ac:dyDescent="0.2">
      <c r="A54" s="6" t="s">
        <v>396</v>
      </c>
      <c r="B54" s="4">
        <v>392</v>
      </c>
      <c r="C54" s="2" t="s">
        <v>2307</v>
      </c>
      <c r="D54" s="2" t="s">
        <v>5</v>
      </c>
      <c r="E54" s="5" t="s">
        <v>410</v>
      </c>
      <c r="F54" s="2">
        <v>188</v>
      </c>
    </row>
    <row r="55" spans="1:6" x14ac:dyDescent="0.2">
      <c r="A55" s="6" t="s">
        <v>197</v>
      </c>
      <c r="B55" s="4">
        <v>193</v>
      </c>
      <c r="C55" s="2" t="s">
        <v>2308</v>
      </c>
      <c r="D55" s="2" t="s">
        <v>2</v>
      </c>
      <c r="E55" s="5" t="s">
        <v>411</v>
      </c>
      <c r="F55" s="2">
        <v>122</v>
      </c>
    </row>
    <row r="56" spans="1:6" x14ac:dyDescent="0.2">
      <c r="A56" s="6" t="s">
        <v>202</v>
      </c>
      <c r="B56" s="4">
        <v>198</v>
      </c>
      <c r="C56" s="2" t="s">
        <v>2308</v>
      </c>
      <c r="D56" s="2" t="s">
        <v>2</v>
      </c>
      <c r="E56" s="5" t="s">
        <v>409</v>
      </c>
      <c r="F56" s="2">
        <v>129</v>
      </c>
    </row>
    <row r="57" spans="1:6" x14ac:dyDescent="0.2">
      <c r="A57" s="6" t="s">
        <v>30</v>
      </c>
      <c r="B57" s="4">
        <v>25</v>
      </c>
      <c r="C57" s="2" t="s">
        <v>2309</v>
      </c>
      <c r="D57" s="2" t="s">
        <v>2</v>
      </c>
      <c r="E57" s="5" t="s">
        <v>409</v>
      </c>
      <c r="F57" s="2">
        <v>292</v>
      </c>
    </row>
    <row r="58" spans="1:6" x14ac:dyDescent="0.2">
      <c r="A58" s="6" t="s">
        <v>310</v>
      </c>
      <c r="B58" s="4">
        <v>306</v>
      </c>
      <c r="C58" s="2" t="s">
        <v>2307</v>
      </c>
      <c r="D58" s="2" t="s">
        <v>2</v>
      </c>
      <c r="E58" s="5" t="s">
        <v>412</v>
      </c>
      <c r="F58" s="2">
        <v>298</v>
      </c>
    </row>
    <row r="59" spans="1:6" x14ac:dyDescent="0.2">
      <c r="A59" s="6" t="s">
        <v>175</v>
      </c>
      <c r="B59" s="4">
        <v>170</v>
      </c>
      <c r="C59" s="2" t="s">
        <v>2310</v>
      </c>
      <c r="D59" s="2" t="s">
        <v>5</v>
      </c>
      <c r="E59" s="7" t="s">
        <v>410</v>
      </c>
      <c r="F59" s="2">
        <v>240</v>
      </c>
    </row>
    <row r="60" spans="1:6" x14ac:dyDescent="0.2">
      <c r="A60" s="6" t="s">
        <v>265</v>
      </c>
      <c r="B60" s="4">
        <v>261</v>
      </c>
      <c r="C60" s="2" t="s">
        <v>2308</v>
      </c>
      <c r="D60" s="2" t="s">
        <v>4</v>
      </c>
      <c r="E60" s="7" t="s">
        <v>409</v>
      </c>
      <c r="F60" s="2">
        <v>217</v>
      </c>
    </row>
    <row r="61" spans="1:6" x14ac:dyDescent="0.2">
      <c r="A61" s="6" t="s">
        <v>251</v>
      </c>
      <c r="B61" s="4">
        <v>247</v>
      </c>
      <c r="C61" s="2" t="s">
        <v>2308</v>
      </c>
      <c r="D61" s="2" t="s">
        <v>4</v>
      </c>
      <c r="E61" s="5" t="s">
        <v>411</v>
      </c>
      <c r="F61" s="2">
        <v>144</v>
      </c>
    </row>
    <row r="62" spans="1:6" x14ac:dyDescent="0.2">
      <c r="A62" s="6" t="s">
        <v>372</v>
      </c>
      <c r="B62" s="4">
        <v>368</v>
      </c>
      <c r="C62" s="2" t="s">
        <v>2307</v>
      </c>
      <c r="D62" s="2" t="s">
        <v>4</v>
      </c>
      <c r="E62" s="5" t="s">
        <v>411</v>
      </c>
      <c r="F62" s="2">
        <v>140</v>
      </c>
    </row>
    <row r="63" spans="1:6" x14ac:dyDescent="0.2">
      <c r="A63" s="6" t="s">
        <v>43</v>
      </c>
      <c r="B63" s="4">
        <v>38</v>
      </c>
      <c r="C63" s="2" t="s">
        <v>2309</v>
      </c>
      <c r="D63" s="2" t="s">
        <v>3</v>
      </c>
      <c r="E63" s="5" t="s">
        <v>410</v>
      </c>
      <c r="F63" s="2">
        <v>213</v>
      </c>
    </row>
    <row r="64" spans="1:6" x14ac:dyDescent="0.2">
      <c r="A64" s="6" t="s">
        <v>301</v>
      </c>
      <c r="B64" s="4">
        <v>297</v>
      </c>
      <c r="C64" s="2" t="s">
        <v>2307</v>
      </c>
      <c r="D64" s="2" t="s">
        <v>2</v>
      </c>
      <c r="E64" s="5" t="s">
        <v>409</v>
      </c>
      <c r="F64" s="2">
        <v>196</v>
      </c>
    </row>
    <row r="65" spans="1:6" x14ac:dyDescent="0.2">
      <c r="A65" s="6" t="s">
        <v>356</v>
      </c>
      <c r="B65" s="4">
        <v>352</v>
      </c>
      <c r="C65" s="2" t="s">
        <v>2307</v>
      </c>
      <c r="D65" s="2" t="s">
        <v>4</v>
      </c>
      <c r="E65" s="5" t="s">
        <v>411</v>
      </c>
      <c r="F65" s="2">
        <v>164</v>
      </c>
    </row>
    <row r="66" spans="1:6" x14ac:dyDescent="0.2">
      <c r="A66" s="6" t="s">
        <v>370</v>
      </c>
      <c r="B66" s="4">
        <v>366</v>
      </c>
      <c r="C66" s="2" t="s">
        <v>2307</v>
      </c>
      <c r="D66" s="2" t="s">
        <v>4</v>
      </c>
      <c r="E66" s="5" t="s">
        <v>408</v>
      </c>
      <c r="F66" s="2">
        <v>206</v>
      </c>
    </row>
    <row r="67" spans="1:6" x14ac:dyDescent="0.2">
      <c r="A67" s="6" t="s">
        <v>360</v>
      </c>
      <c r="B67" s="4">
        <v>356</v>
      </c>
      <c r="C67" s="2" t="s">
        <v>2307</v>
      </c>
      <c r="D67" s="2" t="s">
        <v>4</v>
      </c>
      <c r="E67" s="5" t="s">
        <v>410</v>
      </c>
      <c r="F67" s="2">
        <v>126</v>
      </c>
    </row>
    <row r="68" spans="1:6" x14ac:dyDescent="0.2">
      <c r="A68" s="6" t="s">
        <v>137</v>
      </c>
      <c r="B68" s="4">
        <v>132</v>
      </c>
      <c r="C68" s="2" t="s">
        <v>2310</v>
      </c>
      <c r="D68" s="2" t="s">
        <v>3</v>
      </c>
      <c r="E68" s="7" t="s">
        <v>409</v>
      </c>
      <c r="F68" s="2">
        <v>225</v>
      </c>
    </row>
    <row r="69" spans="1:6" x14ac:dyDescent="0.2">
      <c r="A69" s="6" t="s">
        <v>407</v>
      </c>
      <c r="B69" s="4">
        <v>403</v>
      </c>
      <c r="C69" s="2" t="s">
        <v>2307</v>
      </c>
      <c r="D69" s="2" t="s">
        <v>5</v>
      </c>
      <c r="E69" s="5" t="s">
        <v>410</v>
      </c>
      <c r="F69" s="2">
        <v>133</v>
      </c>
    </row>
    <row r="70" spans="1:6" x14ac:dyDescent="0.2">
      <c r="A70" s="6" t="s">
        <v>84</v>
      </c>
      <c r="B70" s="4">
        <v>79</v>
      </c>
      <c r="C70" s="2" t="s">
        <v>2309</v>
      </c>
      <c r="D70" s="2" t="s">
        <v>5</v>
      </c>
      <c r="E70" s="5" t="s">
        <v>410</v>
      </c>
      <c r="F70" s="2">
        <v>262</v>
      </c>
    </row>
    <row r="71" spans="1:6" x14ac:dyDescent="0.2">
      <c r="A71" s="6" t="s">
        <v>53</v>
      </c>
      <c r="B71" s="4">
        <v>48</v>
      </c>
      <c r="C71" s="2" t="s">
        <v>2309</v>
      </c>
      <c r="D71" s="2" t="s">
        <v>3</v>
      </c>
      <c r="E71" s="5" t="s">
        <v>408</v>
      </c>
      <c r="F71" s="2">
        <v>179</v>
      </c>
    </row>
    <row r="72" spans="1:6" x14ac:dyDescent="0.2">
      <c r="A72" s="6" t="s">
        <v>85</v>
      </c>
      <c r="B72" s="4">
        <v>80</v>
      </c>
      <c r="C72" s="2" t="s">
        <v>2309</v>
      </c>
      <c r="D72" s="2" t="s">
        <v>5</v>
      </c>
      <c r="E72" s="5" t="s">
        <v>410</v>
      </c>
      <c r="F72" s="2">
        <v>274</v>
      </c>
    </row>
    <row r="73" spans="1:6" x14ac:dyDescent="0.2">
      <c r="A73" s="6" t="s">
        <v>282</v>
      </c>
      <c r="B73" s="4">
        <v>278</v>
      </c>
      <c r="C73" s="2" t="s">
        <v>2308</v>
      </c>
      <c r="D73" s="2" t="s">
        <v>5</v>
      </c>
      <c r="E73" s="5" t="s">
        <v>412</v>
      </c>
      <c r="F73" s="2">
        <v>188</v>
      </c>
    </row>
    <row r="74" spans="1:6" x14ac:dyDescent="0.2">
      <c r="A74" s="6" t="s">
        <v>146</v>
      </c>
      <c r="B74" s="4">
        <v>141</v>
      </c>
      <c r="C74" s="2" t="s">
        <v>2310</v>
      </c>
      <c r="D74" s="2" t="s">
        <v>4</v>
      </c>
      <c r="E74" s="5" t="s">
        <v>411</v>
      </c>
      <c r="F74" s="2">
        <v>261</v>
      </c>
    </row>
    <row r="75" spans="1:6" x14ac:dyDescent="0.2">
      <c r="A75" s="6" t="s">
        <v>35</v>
      </c>
      <c r="B75" s="4">
        <v>30</v>
      </c>
      <c r="C75" s="2" t="s">
        <v>2309</v>
      </c>
      <c r="D75" s="2" t="s">
        <v>3</v>
      </c>
      <c r="E75" s="5" t="s">
        <v>410</v>
      </c>
      <c r="F75" s="2">
        <v>208</v>
      </c>
    </row>
    <row r="76" spans="1:6" x14ac:dyDescent="0.2">
      <c r="A76" s="6" t="s">
        <v>316</v>
      </c>
      <c r="B76" s="4">
        <v>312</v>
      </c>
      <c r="C76" s="2" t="s">
        <v>2307</v>
      </c>
      <c r="D76" s="2" t="s">
        <v>2</v>
      </c>
      <c r="E76" s="5" t="s">
        <v>409</v>
      </c>
      <c r="F76" s="2">
        <v>125</v>
      </c>
    </row>
    <row r="77" spans="1:6" x14ac:dyDescent="0.2">
      <c r="A77" s="6" t="s">
        <v>131</v>
      </c>
      <c r="B77" s="4">
        <v>126</v>
      </c>
      <c r="C77" s="2" t="s">
        <v>2310</v>
      </c>
      <c r="D77" s="2" t="s">
        <v>3</v>
      </c>
      <c r="E77" s="7" t="s">
        <v>409</v>
      </c>
      <c r="F77" s="2">
        <v>159</v>
      </c>
    </row>
    <row r="78" spans="1:6" x14ac:dyDescent="0.2">
      <c r="A78" s="6" t="s">
        <v>162</v>
      </c>
      <c r="B78" s="4">
        <v>157</v>
      </c>
      <c r="C78" s="2" t="s">
        <v>2310</v>
      </c>
      <c r="D78" s="2" t="s">
        <v>4</v>
      </c>
      <c r="E78" s="5" t="s">
        <v>411</v>
      </c>
      <c r="F78" s="2">
        <v>149</v>
      </c>
    </row>
    <row r="79" spans="1:6" x14ac:dyDescent="0.2">
      <c r="A79" s="6" t="s">
        <v>184</v>
      </c>
      <c r="B79" s="4">
        <v>179</v>
      </c>
      <c r="C79" s="2" t="s">
        <v>2310</v>
      </c>
      <c r="D79" s="2" t="s">
        <v>5</v>
      </c>
      <c r="E79" s="5" t="s">
        <v>411</v>
      </c>
      <c r="F79" s="2">
        <v>228</v>
      </c>
    </row>
    <row r="80" spans="1:6" x14ac:dyDescent="0.2">
      <c r="A80" s="6" t="s">
        <v>32</v>
      </c>
      <c r="B80" s="4">
        <v>27</v>
      </c>
      <c r="C80" s="2" t="s">
        <v>2309</v>
      </c>
      <c r="D80" s="2" t="s">
        <v>2</v>
      </c>
      <c r="E80" s="5" t="s">
        <v>410</v>
      </c>
      <c r="F80" s="2">
        <v>267</v>
      </c>
    </row>
    <row r="81" spans="1:6" x14ac:dyDescent="0.2">
      <c r="A81" s="6" t="s">
        <v>344</v>
      </c>
      <c r="B81" s="4">
        <v>340</v>
      </c>
      <c r="C81" s="2" t="s">
        <v>2307</v>
      </c>
      <c r="D81" s="2" t="s">
        <v>3</v>
      </c>
      <c r="E81" s="5" t="s">
        <v>410</v>
      </c>
      <c r="F81" s="2">
        <v>271</v>
      </c>
    </row>
    <row r="82" spans="1:6" x14ac:dyDescent="0.2">
      <c r="A82" s="6" t="s">
        <v>276</v>
      </c>
      <c r="B82" s="4">
        <v>272</v>
      </c>
      <c r="C82" s="2" t="s">
        <v>2308</v>
      </c>
      <c r="D82" s="2" t="s">
        <v>5</v>
      </c>
      <c r="E82" s="5" t="s">
        <v>411</v>
      </c>
      <c r="F82" s="2">
        <v>208</v>
      </c>
    </row>
    <row r="83" spans="1:6" x14ac:dyDescent="0.2">
      <c r="A83" s="6" t="s">
        <v>355</v>
      </c>
      <c r="B83" s="4">
        <v>351</v>
      </c>
      <c r="C83" s="2" t="s">
        <v>2307</v>
      </c>
      <c r="D83" s="2" t="s">
        <v>3</v>
      </c>
      <c r="E83" s="5" t="s">
        <v>412</v>
      </c>
      <c r="F83" s="2">
        <v>276</v>
      </c>
    </row>
    <row r="84" spans="1:6" x14ac:dyDescent="0.2">
      <c r="A84" s="6" t="s">
        <v>248</v>
      </c>
      <c r="B84" s="4">
        <v>244</v>
      </c>
      <c r="C84" s="2" t="s">
        <v>2308</v>
      </c>
      <c r="D84" s="2" t="s">
        <v>4</v>
      </c>
      <c r="E84" s="5" t="s">
        <v>410</v>
      </c>
      <c r="F84" s="2">
        <v>141</v>
      </c>
    </row>
    <row r="85" spans="1:6" x14ac:dyDescent="0.2">
      <c r="A85" s="6" t="s">
        <v>352</v>
      </c>
      <c r="B85" s="4">
        <v>348</v>
      </c>
      <c r="C85" s="2" t="s">
        <v>2307</v>
      </c>
      <c r="D85" s="2" t="s">
        <v>3</v>
      </c>
      <c r="E85" s="5" t="s">
        <v>408</v>
      </c>
      <c r="F85" s="2">
        <v>229</v>
      </c>
    </row>
    <row r="86" spans="1:6" x14ac:dyDescent="0.2">
      <c r="A86" s="6" t="s">
        <v>251</v>
      </c>
      <c r="B86" s="4">
        <v>247</v>
      </c>
      <c r="C86" s="2" t="s">
        <v>2308</v>
      </c>
      <c r="D86" s="2" t="s">
        <v>4</v>
      </c>
      <c r="E86" s="7" t="s">
        <v>409</v>
      </c>
      <c r="F86" s="2">
        <v>190</v>
      </c>
    </row>
    <row r="87" spans="1:6" x14ac:dyDescent="0.2">
      <c r="A87" s="6" t="s">
        <v>194</v>
      </c>
      <c r="B87" s="4">
        <v>190</v>
      </c>
      <c r="C87" s="2" t="s">
        <v>2310</v>
      </c>
      <c r="D87" s="2" t="s">
        <v>5</v>
      </c>
      <c r="E87" s="7" t="s">
        <v>409</v>
      </c>
      <c r="F87" s="2">
        <v>274</v>
      </c>
    </row>
    <row r="88" spans="1:6" x14ac:dyDescent="0.2">
      <c r="A88" s="6" t="s">
        <v>335</v>
      </c>
      <c r="B88" s="4">
        <v>331</v>
      </c>
      <c r="C88" s="2" t="s">
        <v>2307</v>
      </c>
      <c r="D88" s="2" t="s">
        <v>3</v>
      </c>
      <c r="E88" s="5" t="s">
        <v>412</v>
      </c>
      <c r="F88" s="2">
        <v>280</v>
      </c>
    </row>
    <row r="89" spans="1:6" x14ac:dyDescent="0.2">
      <c r="A89" s="6" t="s">
        <v>114</v>
      </c>
      <c r="B89" s="4">
        <v>109</v>
      </c>
      <c r="C89" s="2" t="s">
        <v>2310</v>
      </c>
      <c r="D89" s="2" t="s">
        <v>2</v>
      </c>
      <c r="E89" s="5" t="s">
        <v>408</v>
      </c>
      <c r="F89" s="2">
        <v>207</v>
      </c>
    </row>
    <row r="90" spans="1:6" x14ac:dyDescent="0.2">
      <c r="A90" s="6" t="s">
        <v>260</v>
      </c>
      <c r="B90" s="4">
        <v>256</v>
      </c>
      <c r="C90" s="2" t="s">
        <v>2308</v>
      </c>
      <c r="D90" s="2" t="s">
        <v>4</v>
      </c>
      <c r="E90" s="5" t="s">
        <v>410</v>
      </c>
      <c r="F90" s="2">
        <v>144</v>
      </c>
    </row>
    <row r="91" spans="1:6" x14ac:dyDescent="0.2">
      <c r="A91" s="6" t="s">
        <v>262</v>
      </c>
      <c r="B91" s="4">
        <v>258</v>
      </c>
      <c r="C91" s="2" t="s">
        <v>2308</v>
      </c>
      <c r="D91" s="2" t="s">
        <v>4</v>
      </c>
      <c r="E91" s="7" t="s">
        <v>409</v>
      </c>
      <c r="F91" s="2">
        <v>217</v>
      </c>
    </row>
    <row r="92" spans="1:6" x14ac:dyDescent="0.2">
      <c r="A92" s="6" t="s">
        <v>319</v>
      </c>
      <c r="B92" s="4">
        <v>315</v>
      </c>
      <c r="C92" s="2" t="s">
        <v>2307</v>
      </c>
      <c r="D92" s="2" t="s">
        <v>2</v>
      </c>
      <c r="E92" s="5" t="s">
        <v>411</v>
      </c>
      <c r="F92" s="2">
        <v>186</v>
      </c>
    </row>
    <row r="93" spans="1:6" x14ac:dyDescent="0.2">
      <c r="A93" s="6" t="s">
        <v>256</v>
      </c>
      <c r="B93" s="4">
        <v>252</v>
      </c>
      <c r="C93" s="2" t="s">
        <v>2308</v>
      </c>
      <c r="D93" s="2" t="s">
        <v>4</v>
      </c>
      <c r="E93" s="7" t="s">
        <v>409</v>
      </c>
      <c r="F93" s="2">
        <v>143</v>
      </c>
    </row>
    <row r="94" spans="1:6" x14ac:dyDescent="0.2">
      <c r="A94" s="6" t="s">
        <v>189</v>
      </c>
      <c r="B94" s="4">
        <v>184</v>
      </c>
      <c r="C94" s="2" t="s">
        <v>2310</v>
      </c>
      <c r="D94" s="2" t="s">
        <v>5</v>
      </c>
      <c r="E94" s="7" t="s">
        <v>410</v>
      </c>
      <c r="F94" s="2">
        <v>152</v>
      </c>
    </row>
    <row r="95" spans="1:6" x14ac:dyDescent="0.2">
      <c r="A95" s="6" t="s">
        <v>194</v>
      </c>
      <c r="B95" s="4">
        <v>190</v>
      </c>
      <c r="C95" s="2" t="s">
        <v>2310</v>
      </c>
      <c r="D95" s="2" t="s">
        <v>5</v>
      </c>
      <c r="E95" s="6" t="s">
        <v>408</v>
      </c>
      <c r="F95" s="2">
        <v>206</v>
      </c>
    </row>
    <row r="96" spans="1:6" x14ac:dyDescent="0.2">
      <c r="A96" s="6" t="s">
        <v>321</v>
      </c>
      <c r="B96" s="4">
        <v>317</v>
      </c>
      <c r="C96" s="2" t="s">
        <v>2307</v>
      </c>
      <c r="D96" s="2" t="s">
        <v>2</v>
      </c>
      <c r="E96" s="5" t="s">
        <v>410</v>
      </c>
      <c r="F96" s="2">
        <v>143</v>
      </c>
    </row>
    <row r="97" spans="1:6" x14ac:dyDescent="0.2">
      <c r="A97" s="6" t="s">
        <v>21</v>
      </c>
      <c r="B97" s="4">
        <v>16</v>
      </c>
      <c r="C97" s="2" t="s">
        <v>2309</v>
      </c>
      <c r="D97" s="2" t="s">
        <v>2</v>
      </c>
      <c r="E97" s="5" t="s">
        <v>409</v>
      </c>
      <c r="F97" s="2">
        <v>299</v>
      </c>
    </row>
    <row r="98" spans="1:6" x14ac:dyDescent="0.2">
      <c r="A98" s="6" t="s">
        <v>225</v>
      </c>
      <c r="B98" s="4">
        <v>221</v>
      </c>
      <c r="C98" s="2" t="s">
        <v>2308</v>
      </c>
      <c r="D98" s="2" t="s">
        <v>3</v>
      </c>
      <c r="E98" s="7" t="s">
        <v>411</v>
      </c>
      <c r="F98" s="2">
        <v>165</v>
      </c>
    </row>
    <row r="99" spans="1:6" x14ac:dyDescent="0.2">
      <c r="A99" s="6" t="s">
        <v>183</v>
      </c>
      <c r="B99" s="4">
        <v>178</v>
      </c>
      <c r="C99" s="2" t="s">
        <v>2310</v>
      </c>
      <c r="D99" s="2" t="s">
        <v>5</v>
      </c>
      <c r="E99" s="5" t="s">
        <v>411</v>
      </c>
      <c r="F99" s="2">
        <v>164</v>
      </c>
    </row>
    <row r="100" spans="1:6" x14ac:dyDescent="0.2">
      <c r="A100" s="6" t="s">
        <v>338</v>
      </c>
      <c r="B100" s="4">
        <v>334</v>
      </c>
      <c r="C100" s="2" t="s">
        <v>2307</v>
      </c>
      <c r="D100" s="2" t="s">
        <v>3</v>
      </c>
      <c r="E100" s="5" t="s">
        <v>412</v>
      </c>
      <c r="F100" s="2">
        <v>239</v>
      </c>
    </row>
    <row r="101" spans="1:6" x14ac:dyDescent="0.2">
      <c r="A101" s="6" t="s">
        <v>120</v>
      </c>
      <c r="B101" s="4">
        <v>115</v>
      </c>
      <c r="C101" s="2" t="s">
        <v>2310</v>
      </c>
      <c r="D101" s="2" t="s">
        <v>2</v>
      </c>
      <c r="E101" s="5" t="s">
        <v>408</v>
      </c>
      <c r="F101" s="2">
        <v>157</v>
      </c>
    </row>
    <row r="102" spans="1:6" x14ac:dyDescent="0.2">
      <c r="A102" s="6" t="s">
        <v>43</v>
      </c>
      <c r="B102" s="4">
        <v>38</v>
      </c>
      <c r="C102" s="2" t="s">
        <v>2309</v>
      </c>
      <c r="D102" s="2" t="s">
        <v>3</v>
      </c>
      <c r="E102" s="5" t="s">
        <v>411</v>
      </c>
      <c r="F102" s="2">
        <v>141</v>
      </c>
    </row>
    <row r="103" spans="1:6" x14ac:dyDescent="0.2">
      <c r="A103" s="6" t="s">
        <v>148</v>
      </c>
      <c r="B103" s="4">
        <v>143</v>
      </c>
      <c r="C103" s="2" t="s">
        <v>2310</v>
      </c>
      <c r="D103" s="2" t="s">
        <v>4</v>
      </c>
      <c r="E103" s="5" t="s">
        <v>411</v>
      </c>
      <c r="F103" s="2">
        <v>153</v>
      </c>
    </row>
    <row r="104" spans="1:6" x14ac:dyDescent="0.2">
      <c r="A104" s="6" t="s">
        <v>153</v>
      </c>
      <c r="B104" s="4">
        <v>148</v>
      </c>
      <c r="C104" s="2" t="s">
        <v>2310</v>
      </c>
      <c r="D104" s="2" t="s">
        <v>4</v>
      </c>
      <c r="E104" s="5" t="s">
        <v>412</v>
      </c>
      <c r="F104" s="2">
        <v>153</v>
      </c>
    </row>
    <row r="105" spans="1:6" x14ac:dyDescent="0.2">
      <c r="A105" s="6" t="s">
        <v>315</v>
      </c>
      <c r="B105" s="4">
        <v>311</v>
      </c>
      <c r="C105" s="2" t="s">
        <v>2307</v>
      </c>
      <c r="D105" s="2" t="s">
        <v>2</v>
      </c>
      <c r="E105" s="5" t="s">
        <v>410</v>
      </c>
      <c r="F105" s="2">
        <v>190</v>
      </c>
    </row>
    <row r="106" spans="1:6" x14ac:dyDescent="0.2">
      <c r="A106" s="6" t="s">
        <v>69</v>
      </c>
      <c r="B106" s="4">
        <v>64</v>
      </c>
      <c r="C106" s="2" t="s">
        <v>2309</v>
      </c>
      <c r="D106" s="2" t="s">
        <v>4</v>
      </c>
      <c r="E106" s="5" t="s">
        <v>411</v>
      </c>
      <c r="F106" s="2">
        <v>135</v>
      </c>
    </row>
    <row r="107" spans="1:6" x14ac:dyDescent="0.2">
      <c r="A107" s="6" t="s">
        <v>27</v>
      </c>
      <c r="B107" s="4">
        <v>22</v>
      </c>
      <c r="C107" s="2" t="s">
        <v>2309</v>
      </c>
      <c r="D107" s="2" t="s">
        <v>2</v>
      </c>
      <c r="E107" s="5" t="s">
        <v>408</v>
      </c>
      <c r="F107" s="2">
        <v>258</v>
      </c>
    </row>
    <row r="108" spans="1:6" x14ac:dyDescent="0.2">
      <c r="A108" s="6" t="s">
        <v>330</v>
      </c>
      <c r="B108" s="4">
        <v>326</v>
      </c>
      <c r="C108" s="2" t="s">
        <v>2307</v>
      </c>
      <c r="D108" s="2" t="s">
        <v>3</v>
      </c>
      <c r="E108" s="5" t="s">
        <v>411</v>
      </c>
      <c r="F108" s="2">
        <v>254</v>
      </c>
    </row>
    <row r="109" spans="1:6" x14ac:dyDescent="0.2">
      <c r="A109" s="6" t="s">
        <v>96</v>
      </c>
      <c r="B109" s="4">
        <v>91</v>
      </c>
      <c r="C109" s="2" t="s">
        <v>2309</v>
      </c>
      <c r="D109" s="2" t="s">
        <v>5</v>
      </c>
      <c r="E109" s="5" t="s">
        <v>408</v>
      </c>
      <c r="F109" s="2">
        <v>281</v>
      </c>
    </row>
    <row r="110" spans="1:6" x14ac:dyDescent="0.2">
      <c r="A110" s="6" t="s">
        <v>198</v>
      </c>
      <c r="B110" s="4">
        <v>194</v>
      </c>
      <c r="C110" s="2" t="s">
        <v>2308</v>
      </c>
      <c r="D110" s="2" t="s">
        <v>2</v>
      </c>
      <c r="E110" s="6" t="s">
        <v>408</v>
      </c>
      <c r="F110" s="2">
        <v>238</v>
      </c>
    </row>
    <row r="111" spans="1:6" x14ac:dyDescent="0.2">
      <c r="A111" s="6" t="s">
        <v>43</v>
      </c>
      <c r="B111" s="4">
        <v>38</v>
      </c>
      <c r="C111" s="2" t="s">
        <v>2309</v>
      </c>
      <c r="D111" s="2" t="s">
        <v>3</v>
      </c>
      <c r="E111" s="5" t="s">
        <v>409</v>
      </c>
      <c r="F111" s="2">
        <v>190</v>
      </c>
    </row>
    <row r="112" spans="1:6" x14ac:dyDescent="0.2">
      <c r="A112" s="6" t="s">
        <v>398</v>
      </c>
      <c r="B112" s="4">
        <v>394</v>
      </c>
      <c r="C112" s="2" t="s">
        <v>2307</v>
      </c>
      <c r="D112" s="2" t="s">
        <v>5</v>
      </c>
      <c r="E112" s="5" t="s">
        <v>411</v>
      </c>
      <c r="F112" s="2">
        <v>216</v>
      </c>
    </row>
    <row r="113" spans="1:6" x14ac:dyDescent="0.2">
      <c r="A113" s="6" t="s">
        <v>164</v>
      </c>
      <c r="B113" s="4">
        <v>159</v>
      </c>
      <c r="C113" s="2" t="s">
        <v>2310</v>
      </c>
      <c r="D113" s="2" t="s">
        <v>4</v>
      </c>
      <c r="E113" s="5" t="s">
        <v>410</v>
      </c>
      <c r="F113" s="2">
        <v>170</v>
      </c>
    </row>
    <row r="114" spans="1:6" x14ac:dyDescent="0.2">
      <c r="A114" s="6" t="s">
        <v>100</v>
      </c>
      <c r="B114" s="4">
        <v>95</v>
      </c>
      <c r="C114" s="2" t="s">
        <v>2309</v>
      </c>
      <c r="D114" s="2" t="s">
        <v>5</v>
      </c>
      <c r="E114" s="5" t="s">
        <v>408</v>
      </c>
      <c r="F114" s="2">
        <v>242</v>
      </c>
    </row>
    <row r="115" spans="1:6" x14ac:dyDescent="0.2">
      <c r="A115" s="6" t="s">
        <v>186</v>
      </c>
      <c r="B115" s="4">
        <v>181</v>
      </c>
      <c r="C115" s="2" t="s">
        <v>2310</v>
      </c>
      <c r="D115" s="2" t="s">
        <v>5</v>
      </c>
      <c r="E115" s="5" t="s">
        <v>411</v>
      </c>
      <c r="F115" s="2">
        <v>258</v>
      </c>
    </row>
    <row r="116" spans="1:6" x14ac:dyDescent="0.2">
      <c r="A116" s="6" t="s">
        <v>325</v>
      </c>
      <c r="B116" s="4">
        <v>321</v>
      </c>
      <c r="C116" s="2" t="s">
        <v>2307</v>
      </c>
      <c r="D116" s="2" t="s">
        <v>2</v>
      </c>
      <c r="E116" s="5" t="s">
        <v>409</v>
      </c>
      <c r="F116" s="2">
        <v>121</v>
      </c>
    </row>
    <row r="117" spans="1:6" x14ac:dyDescent="0.2">
      <c r="A117" s="6" t="s">
        <v>213</v>
      </c>
      <c r="B117" s="4">
        <v>209</v>
      </c>
      <c r="C117" s="2" t="s">
        <v>2308</v>
      </c>
      <c r="D117" s="2" t="s">
        <v>2</v>
      </c>
      <c r="E117" s="5" t="s">
        <v>411</v>
      </c>
      <c r="F117" s="2">
        <v>187</v>
      </c>
    </row>
    <row r="118" spans="1:6" x14ac:dyDescent="0.2">
      <c r="A118" s="6" t="s">
        <v>397</v>
      </c>
      <c r="B118" s="4">
        <v>393</v>
      </c>
      <c r="C118" s="2" t="s">
        <v>2307</v>
      </c>
      <c r="D118" s="2" t="s">
        <v>5</v>
      </c>
      <c r="E118" s="5" t="s">
        <v>408</v>
      </c>
      <c r="F118" s="2">
        <v>202</v>
      </c>
    </row>
    <row r="119" spans="1:6" x14ac:dyDescent="0.2">
      <c r="A119" s="6" t="s">
        <v>154</v>
      </c>
      <c r="B119" s="4">
        <v>149</v>
      </c>
      <c r="C119" s="2" t="s">
        <v>2310</v>
      </c>
      <c r="D119" s="2" t="s">
        <v>4</v>
      </c>
      <c r="E119" s="6" t="s">
        <v>408</v>
      </c>
      <c r="F119" s="2">
        <v>164</v>
      </c>
    </row>
    <row r="120" spans="1:6" x14ac:dyDescent="0.2">
      <c r="A120" s="6" t="s">
        <v>385</v>
      </c>
      <c r="B120" s="4">
        <v>381</v>
      </c>
      <c r="C120" s="2" t="s">
        <v>2307</v>
      </c>
      <c r="D120" s="2" t="s">
        <v>5</v>
      </c>
      <c r="E120" s="5" t="s">
        <v>410</v>
      </c>
      <c r="F120" s="2">
        <v>145</v>
      </c>
    </row>
    <row r="121" spans="1:6" x14ac:dyDescent="0.2">
      <c r="A121" s="6" t="s">
        <v>363</v>
      </c>
      <c r="B121" s="4">
        <v>359</v>
      </c>
      <c r="C121" s="2" t="s">
        <v>2307</v>
      </c>
      <c r="D121" s="2" t="s">
        <v>4</v>
      </c>
      <c r="E121" s="5" t="s">
        <v>410</v>
      </c>
      <c r="F121" s="2">
        <v>164</v>
      </c>
    </row>
    <row r="122" spans="1:6" x14ac:dyDescent="0.2">
      <c r="A122" s="6" t="s">
        <v>243</v>
      </c>
      <c r="B122" s="4">
        <v>239</v>
      </c>
      <c r="C122" s="2" t="s">
        <v>2308</v>
      </c>
      <c r="D122" s="2" t="s">
        <v>3</v>
      </c>
      <c r="E122" s="7" t="s">
        <v>410</v>
      </c>
      <c r="F122" s="2">
        <v>146</v>
      </c>
    </row>
    <row r="123" spans="1:6" x14ac:dyDescent="0.2">
      <c r="A123" s="6" t="s">
        <v>49</v>
      </c>
      <c r="B123" s="4">
        <v>44</v>
      </c>
      <c r="C123" s="2" t="s">
        <v>2309</v>
      </c>
      <c r="D123" s="2" t="s">
        <v>3</v>
      </c>
      <c r="E123" s="5" t="s">
        <v>409</v>
      </c>
      <c r="F123" s="2">
        <v>176</v>
      </c>
    </row>
    <row r="124" spans="1:6" x14ac:dyDescent="0.2">
      <c r="A124" s="6" t="s">
        <v>115</v>
      </c>
      <c r="B124" s="4">
        <v>110</v>
      </c>
      <c r="C124" s="2" t="s">
        <v>2310</v>
      </c>
      <c r="D124" s="2" t="s">
        <v>2</v>
      </c>
      <c r="E124" s="5" t="s">
        <v>409</v>
      </c>
      <c r="F124" s="2">
        <v>174</v>
      </c>
    </row>
    <row r="125" spans="1:6" x14ac:dyDescent="0.2">
      <c r="A125" s="6" t="s">
        <v>245</v>
      </c>
      <c r="B125" s="4">
        <v>241</v>
      </c>
      <c r="C125" s="2" t="s">
        <v>2308</v>
      </c>
      <c r="D125" s="2" t="s">
        <v>3</v>
      </c>
      <c r="E125" s="7" t="s">
        <v>410</v>
      </c>
      <c r="F125" s="2">
        <v>186</v>
      </c>
    </row>
    <row r="126" spans="1:6" x14ac:dyDescent="0.2">
      <c r="A126" s="6" t="s">
        <v>212</v>
      </c>
      <c r="B126" s="4">
        <v>208</v>
      </c>
      <c r="C126" s="2" t="s">
        <v>2308</v>
      </c>
      <c r="D126" s="2" t="s">
        <v>2</v>
      </c>
      <c r="E126" s="5" t="s">
        <v>410</v>
      </c>
      <c r="F126" s="2">
        <v>292</v>
      </c>
    </row>
    <row r="127" spans="1:6" x14ac:dyDescent="0.2">
      <c r="A127" s="6" t="s">
        <v>325</v>
      </c>
      <c r="B127" s="4">
        <v>321</v>
      </c>
      <c r="C127" s="2" t="s">
        <v>2307</v>
      </c>
      <c r="D127" s="2" t="s">
        <v>2</v>
      </c>
      <c r="E127" s="5" t="s">
        <v>412</v>
      </c>
      <c r="F127" s="2">
        <v>200</v>
      </c>
    </row>
    <row r="128" spans="1:6" x14ac:dyDescent="0.2">
      <c r="A128" s="6" t="s">
        <v>133</v>
      </c>
      <c r="B128" s="4">
        <v>128</v>
      </c>
      <c r="C128" s="2" t="s">
        <v>2310</v>
      </c>
      <c r="D128" s="2" t="s">
        <v>3</v>
      </c>
      <c r="E128" s="5" t="s">
        <v>412</v>
      </c>
      <c r="F128" s="2">
        <v>157</v>
      </c>
    </row>
    <row r="129" spans="1:6" x14ac:dyDescent="0.2">
      <c r="A129" s="6" t="s">
        <v>340</v>
      </c>
      <c r="B129" s="4">
        <v>336</v>
      </c>
      <c r="C129" s="2" t="s">
        <v>2307</v>
      </c>
      <c r="D129" s="2" t="s">
        <v>3</v>
      </c>
      <c r="E129" s="5" t="s">
        <v>412</v>
      </c>
      <c r="F129" s="2">
        <v>238</v>
      </c>
    </row>
    <row r="130" spans="1:6" x14ac:dyDescent="0.2">
      <c r="A130" s="6" t="s">
        <v>377</v>
      </c>
      <c r="B130" s="4">
        <v>373</v>
      </c>
      <c r="C130" s="2" t="s">
        <v>2307</v>
      </c>
      <c r="D130" s="2" t="s">
        <v>4</v>
      </c>
      <c r="E130" s="5" t="s">
        <v>410</v>
      </c>
      <c r="F130" s="2">
        <v>232</v>
      </c>
    </row>
    <row r="131" spans="1:6" x14ac:dyDescent="0.2">
      <c r="A131" s="6" t="s">
        <v>156</v>
      </c>
      <c r="B131" s="4">
        <v>151</v>
      </c>
      <c r="C131" s="2" t="s">
        <v>2310</v>
      </c>
      <c r="D131" s="2" t="s">
        <v>4</v>
      </c>
      <c r="E131" s="6" t="s">
        <v>408</v>
      </c>
      <c r="F131" s="2">
        <v>241</v>
      </c>
    </row>
    <row r="132" spans="1:6" x14ac:dyDescent="0.2">
      <c r="A132" s="6" t="s">
        <v>328</v>
      </c>
      <c r="B132" s="4">
        <v>324</v>
      </c>
      <c r="C132" s="2" t="s">
        <v>2307</v>
      </c>
      <c r="D132" s="2" t="s">
        <v>2</v>
      </c>
      <c r="E132" s="5" t="s">
        <v>412</v>
      </c>
      <c r="F132" s="2">
        <v>267</v>
      </c>
    </row>
    <row r="133" spans="1:6" x14ac:dyDescent="0.2">
      <c r="A133" s="6" t="s">
        <v>199</v>
      </c>
      <c r="B133" s="4">
        <v>195</v>
      </c>
      <c r="C133" s="2" t="s">
        <v>2308</v>
      </c>
      <c r="D133" s="2" t="s">
        <v>2</v>
      </c>
      <c r="E133" s="5" t="s">
        <v>411</v>
      </c>
      <c r="F133" s="2">
        <v>187</v>
      </c>
    </row>
    <row r="134" spans="1:6" x14ac:dyDescent="0.2">
      <c r="A134" s="6" t="s">
        <v>132</v>
      </c>
      <c r="B134" s="4">
        <v>127</v>
      </c>
      <c r="C134" s="2" t="s">
        <v>2310</v>
      </c>
      <c r="D134" s="2" t="s">
        <v>3</v>
      </c>
      <c r="E134" s="7" t="s">
        <v>409</v>
      </c>
      <c r="F134" s="2">
        <v>136</v>
      </c>
    </row>
    <row r="135" spans="1:6" x14ac:dyDescent="0.2">
      <c r="A135" s="6" t="s">
        <v>62</v>
      </c>
      <c r="B135" s="4">
        <v>57</v>
      </c>
      <c r="C135" s="2" t="s">
        <v>2309</v>
      </c>
      <c r="D135" s="2" t="s">
        <v>4</v>
      </c>
      <c r="E135" s="5" t="s">
        <v>409</v>
      </c>
      <c r="F135" s="2">
        <v>236</v>
      </c>
    </row>
    <row r="136" spans="1:6" x14ac:dyDescent="0.2">
      <c r="A136" s="6" t="s">
        <v>133</v>
      </c>
      <c r="B136" s="4">
        <v>128</v>
      </c>
      <c r="C136" s="2" t="s">
        <v>2310</v>
      </c>
      <c r="D136" s="2" t="s">
        <v>3</v>
      </c>
      <c r="E136" s="6" t="s">
        <v>408</v>
      </c>
      <c r="F136" s="2">
        <v>125</v>
      </c>
    </row>
    <row r="137" spans="1:6" x14ac:dyDescent="0.2">
      <c r="A137" s="6" t="s">
        <v>345</v>
      </c>
      <c r="B137" s="4">
        <v>341</v>
      </c>
      <c r="C137" s="2" t="s">
        <v>2307</v>
      </c>
      <c r="D137" s="2" t="s">
        <v>3</v>
      </c>
      <c r="E137" s="5" t="s">
        <v>409</v>
      </c>
      <c r="F137" s="2">
        <v>282</v>
      </c>
    </row>
    <row r="138" spans="1:6" x14ac:dyDescent="0.2">
      <c r="A138" s="6" t="s">
        <v>48</v>
      </c>
      <c r="B138" s="4">
        <v>43</v>
      </c>
      <c r="C138" s="2" t="s">
        <v>2309</v>
      </c>
      <c r="D138" s="2" t="s">
        <v>3</v>
      </c>
      <c r="E138" s="5" t="s">
        <v>410</v>
      </c>
      <c r="F138" s="2">
        <v>169</v>
      </c>
    </row>
    <row r="139" spans="1:6" x14ac:dyDescent="0.2">
      <c r="A139" s="6" t="s">
        <v>135</v>
      </c>
      <c r="B139" s="4">
        <v>130</v>
      </c>
      <c r="C139" s="2" t="s">
        <v>2310</v>
      </c>
      <c r="D139" s="2" t="s">
        <v>3</v>
      </c>
      <c r="E139" s="7" t="s">
        <v>411</v>
      </c>
      <c r="F139" s="2">
        <v>154</v>
      </c>
    </row>
    <row r="140" spans="1:6" x14ac:dyDescent="0.2">
      <c r="A140" s="6" t="s">
        <v>179</v>
      </c>
      <c r="B140" s="4">
        <v>174</v>
      </c>
      <c r="C140" s="2" t="s">
        <v>2310</v>
      </c>
      <c r="D140" s="2" t="s">
        <v>5</v>
      </c>
      <c r="E140" s="6" t="s">
        <v>408</v>
      </c>
      <c r="F140" s="2">
        <v>229</v>
      </c>
    </row>
    <row r="141" spans="1:6" x14ac:dyDescent="0.2">
      <c r="A141" s="6" t="s">
        <v>64</v>
      </c>
      <c r="B141" s="4">
        <v>59</v>
      </c>
      <c r="C141" s="2" t="s">
        <v>2309</v>
      </c>
      <c r="D141" s="2" t="s">
        <v>4</v>
      </c>
      <c r="E141" s="5" t="s">
        <v>408</v>
      </c>
      <c r="F141" s="2">
        <v>213</v>
      </c>
    </row>
    <row r="142" spans="1:6" x14ac:dyDescent="0.2">
      <c r="A142" s="6" t="s">
        <v>256</v>
      </c>
      <c r="B142" s="4">
        <v>252</v>
      </c>
      <c r="C142" s="2" t="s">
        <v>2308</v>
      </c>
      <c r="D142" s="2" t="s">
        <v>4</v>
      </c>
      <c r="E142" s="5" t="s">
        <v>410</v>
      </c>
      <c r="F142" s="2">
        <v>153</v>
      </c>
    </row>
    <row r="143" spans="1:6" x14ac:dyDescent="0.2">
      <c r="A143" s="6" t="s">
        <v>387</v>
      </c>
      <c r="B143" s="4">
        <v>383</v>
      </c>
      <c r="C143" s="2" t="s">
        <v>2307</v>
      </c>
      <c r="D143" s="2" t="s">
        <v>5</v>
      </c>
      <c r="E143" s="5" t="s">
        <v>412</v>
      </c>
      <c r="F143" s="2">
        <v>240</v>
      </c>
    </row>
    <row r="144" spans="1:6" x14ac:dyDescent="0.2">
      <c r="A144" s="6" t="s">
        <v>319</v>
      </c>
      <c r="B144" s="4">
        <v>315</v>
      </c>
      <c r="C144" s="2" t="s">
        <v>2307</v>
      </c>
      <c r="D144" s="2" t="s">
        <v>2</v>
      </c>
      <c r="E144" s="5" t="s">
        <v>408</v>
      </c>
      <c r="F144" s="2">
        <v>137</v>
      </c>
    </row>
    <row r="145" spans="1:6" x14ac:dyDescent="0.2">
      <c r="A145" s="6" t="s">
        <v>22</v>
      </c>
      <c r="B145" s="4">
        <v>17</v>
      </c>
      <c r="C145" s="2" t="s">
        <v>2309</v>
      </c>
      <c r="D145" s="2" t="s">
        <v>2</v>
      </c>
      <c r="E145" s="5" t="s">
        <v>410</v>
      </c>
      <c r="F145" s="2">
        <v>152</v>
      </c>
    </row>
    <row r="146" spans="1:6" x14ac:dyDescent="0.2">
      <c r="A146" s="6" t="s">
        <v>316</v>
      </c>
      <c r="B146" s="4">
        <v>312</v>
      </c>
      <c r="C146" s="2" t="s">
        <v>2307</v>
      </c>
      <c r="D146" s="2" t="s">
        <v>2</v>
      </c>
      <c r="E146" s="5" t="s">
        <v>410</v>
      </c>
      <c r="F146" s="2">
        <v>197</v>
      </c>
    </row>
    <row r="147" spans="1:6" x14ac:dyDescent="0.2">
      <c r="A147" s="6" t="s">
        <v>398</v>
      </c>
      <c r="B147" s="4">
        <v>394</v>
      </c>
      <c r="C147" s="2" t="s">
        <v>2307</v>
      </c>
      <c r="D147" s="2" t="s">
        <v>5</v>
      </c>
      <c r="E147" s="5" t="s">
        <v>408</v>
      </c>
      <c r="F147" s="2">
        <v>185</v>
      </c>
    </row>
    <row r="148" spans="1:6" x14ac:dyDescent="0.2">
      <c r="A148" s="6" t="s">
        <v>123</v>
      </c>
      <c r="B148" s="4">
        <v>118</v>
      </c>
      <c r="C148" s="2" t="s">
        <v>2310</v>
      </c>
      <c r="D148" s="2" t="s">
        <v>2</v>
      </c>
      <c r="E148" s="5" t="s">
        <v>412</v>
      </c>
      <c r="F148" s="2">
        <v>216</v>
      </c>
    </row>
    <row r="149" spans="1:6" x14ac:dyDescent="0.2">
      <c r="A149" s="6" t="s">
        <v>161</v>
      </c>
      <c r="B149" s="4">
        <v>156</v>
      </c>
      <c r="C149" s="2" t="s">
        <v>2310</v>
      </c>
      <c r="D149" s="2" t="s">
        <v>4</v>
      </c>
      <c r="E149" s="5" t="s">
        <v>411</v>
      </c>
      <c r="F149" s="2">
        <v>164</v>
      </c>
    </row>
    <row r="150" spans="1:6" x14ac:dyDescent="0.2">
      <c r="A150" s="6" t="s">
        <v>219</v>
      </c>
      <c r="B150" s="4">
        <v>215</v>
      </c>
      <c r="C150" s="2" t="s">
        <v>2308</v>
      </c>
      <c r="D150" s="2" t="s">
        <v>2</v>
      </c>
      <c r="E150" s="5" t="s">
        <v>411</v>
      </c>
      <c r="F150" s="2">
        <v>196</v>
      </c>
    </row>
    <row r="151" spans="1:6" x14ac:dyDescent="0.2">
      <c r="A151" s="6" t="s">
        <v>77</v>
      </c>
      <c r="B151" s="4">
        <v>72</v>
      </c>
      <c r="C151" s="2" t="s">
        <v>2309</v>
      </c>
      <c r="D151" s="2" t="s">
        <v>4</v>
      </c>
      <c r="E151" s="5" t="s">
        <v>411</v>
      </c>
      <c r="F151" s="2">
        <v>203</v>
      </c>
    </row>
    <row r="152" spans="1:6" x14ac:dyDescent="0.2">
      <c r="A152" s="6" t="s">
        <v>87</v>
      </c>
      <c r="B152" s="4">
        <v>82</v>
      </c>
      <c r="C152" s="2" t="s">
        <v>2309</v>
      </c>
      <c r="D152" s="2" t="s">
        <v>5</v>
      </c>
      <c r="E152" s="5" t="s">
        <v>412</v>
      </c>
      <c r="F152" s="2">
        <v>121</v>
      </c>
    </row>
    <row r="153" spans="1:6" x14ac:dyDescent="0.2">
      <c r="A153" s="6" t="s">
        <v>234</v>
      </c>
      <c r="B153" s="4">
        <v>230</v>
      </c>
      <c r="C153" s="2" t="s">
        <v>2308</v>
      </c>
      <c r="D153" s="2" t="s">
        <v>3</v>
      </c>
      <c r="E153" s="7" t="s">
        <v>409</v>
      </c>
      <c r="F153" s="2">
        <v>134</v>
      </c>
    </row>
    <row r="154" spans="1:6" x14ac:dyDescent="0.2">
      <c r="A154" s="6" t="s">
        <v>284</v>
      </c>
      <c r="B154" s="4">
        <v>280</v>
      </c>
      <c r="C154" s="2" t="s">
        <v>2308</v>
      </c>
      <c r="D154" s="2" t="s">
        <v>5</v>
      </c>
      <c r="E154" s="5" t="s">
        <v>410</v>
      </c>
      <c r="F154" s="2">
        <v>198</v>
      </c>
    </row>
    <row r="155" spans="1:6" x14ac:dyDescent="0.2">
      <c r="A155" s="6" t="s">
        <v>232</v>
      </c>
      <c r="B155" s="4">
        <v>228</v>
      </c>
      <c r="C155" s="2" t="s">
        <v>2308</v>
      </c>
      <c r="D155" s="2" t="s">
        <v>3</v>
      </c>
      <c r="E155" s="7" t="s">
        <v>410</v>
      </c>
      <c r="F155" s="2">
        <v>299</v>
      </c>
    </row>
    <row r="156" spans="1:6" x14ac:dyDescent="0.2">
      <c r="A156" s="6" t="s">
        <v>191</v>
      </c>
      <c r="B156" s="4">
        <v>186</v>
      </c>
      <c r="C156" s="2" t="s">
        <v>2310</v>
      </c>
      <c r="D156" s="2" t="s">
        <v>5</v>
      </c>
      <c r="E156" s="6" t="s">
        <v>408</v>
      </c>
      <c r="F156" s="2">
        <v>207</v>
      </c>
    </row>
    <row r="157" spans="1:6" x14ac:dyDescent="0.2">
      <c r="A157" s="6" t="s">
        <v>344</v>
      </c>
      <c r="B157" s="4">
        <v>340</v>
      </c>
      <c r="C157" s="2" t="s">
        <v>2307</v>
      </c>
      <c r="D157" s="2" t="s">
        <v>3</v>
      </c>
      <c r="E157" s="5" t="s">
        <v>409</v>
      </c>
      <c r="F157" s="2">
        <v>219</v>
      </c>
    </row>
    <row r="158" spans="1:6" x14ac:dyDescent="0.2">
      <c r="A158" s="6" t="s">
        <v>67</v>
      </c>
      <c r="B158" s="4">
        <v>62</v>
      </c>
      <c r="C158" s="2" t="s">
        <v>2309</v>
      </c>
      <c r="D158" s="2" t="s">
        <v>4</v>
      </c>
      <c r="E158" s="5" t="s">
        <v>409</v>
      </c>
      <c r="F158" s="2">
        <v>259</v>
      </c>
    </row>
    <row r="159" spans="1:6" x14ac:dyDescent="0.2">
      <c r="A159" s="6" t="s">
        <v>361</v>
      </c>
      <c r="B159" s="4">
        <v>357</v>
      </c>
      <c r="C159" s="2" t="s">
        <v>2307</v>
      </c>
      <c r="D159" s="2" t="s">
        <v>4</v>
      </c>
      <c r="E159" s="5" t="s">
        <v>409</v>
      </c>
      <c r="F159" s="2">
        <v>193</v>
      </c>
    </row>
    <row r="160" spans="1:6" x14ac:dyDescent="0.2">
      <c r="A160" s="6" t="s">
        <v>196</v>
      </c>
      <c r="B160" s="4">
        <v>192</v>
      </c>
      <c r="C160" s="2" t="s">
        <v>2310</v>
      </c>
      <c r="D160" s="2" t="s">
        <v>5</v>
      </c>
      <c r="E160" s="7" t="s">
        <v>409</v>
      </c>
      <c r="F160" s="2">
        <v>252</v>
      </c>
    </row>
    <row r="161" spans="1:6" x14ac:dyDescent="0.2">
      <c r="A161" s="6" t="s">
        <v>83</v>
      </c>
      <c r="B161" s="4">
        <v>78</v>
      </c>
      <c r="C161" s="2" t="s">
        <v>2309</v>
      </c>
      <c r="D161" s="2" t="s">
        <v>5</v>
      </c>
      <c r="E161" s="5" t="s">
        <v>410</v>
      </c>
      <c r="F161" s="2">
        <v>155</v>
      </c>
    </row>
    <row r="162" spans="1:6" x14ac:dyDescent="0.2">
      <c r="A162" s="6" t="s">
        <v>368</v>
      </c>
      <c r="B162" s="4">
        <v>364</v>
      </c>
      <c r="C162" s="2" t="s">
        <v>2307</v>
      </c>
      <c r="D162" s="2" t="s">
        <v>4</v>
      </c>
      <c r="E162" s="5" t="s">
        <v>412</v>
      </c>
      <c r="F162" s="2">
        <v>239</v>
      </c>
    </row>
    <row r="163" spans="1:6" x14ac:dyDescent="0.2">
      <c r="A163" s="6" t="s">
        <v>25</v>
      </c>
      <c r="B163" s="4">
        <v>20</v>
      </c>
      <c r="C163" s="2" t="s">
        <v>2309</v>
      </c>
      <c r="D163" s="2" t="s">
        <v>2</v>
      </c>
      <c r="E163" s="5" t="s">
        <v>412</v>
      </c>
      <c r="F163" s="2">
        <v>177</v>
      </c>
    </row>
    <row r="164" spans="1:6" x14ac:dyDescent="0.2">
      <c r="A164" s="6" t="s">
        <v>128</v>
      </c>
      <c r="B164" s="4">
        <v>123</v>
      </c>
      <c r="C164" s="2" t="s">
        <v>2310</v>
      </c>
      <c r="D164" s="2" t="s">
        <v>3</v>
      </c>
      <c r="E164" s="7" t="s">
        <v>410</v>
      </c>
      <c r="F164" s="2">
        <v>209</v>
      </c>
    </row>
    <row r="165" spans="1:6" x14ac:dyDescent="0.2">
      <c r="A165" s="6" t="s">
        <v>386</v>
      </c>
      <c r="B165" s="4">
        <v>382</v>
      </c>
      <c r="C165" s="2" t="s">
        <v>2307</v>
      </c>
      <c r="D165" s="2" t="s">
        <v>5</v>
      </c>
      <c r="E165" s="5" t="s">
        <v>411</v>
      </c>
      <c r="F165" s="2">
        <v>164</v>
      </c>
    </row>
    <row r="166" spans="1:6" x14ac:dyDescent="0.2">
      <c r="A166" s="6" t="s">
        <v>61</v>
      </c>
      <c r="B166" s="4">
        <v>56</v>
      </c>
      <c r="C166" s="2" t="s">
        <v>2309</v>
      </c>
      <c r="D166" s="2" t="s">
        <v>4</v>
      </c>
      <c r="E166" s="5" t="s">
        <v>412</v>
      </c>
      <c r="F166" s="2">
        <v>194</v>
      </c>
    </row>
    <row r="167" spans="1:6" x14ac:dyDescent="0.2">
      <c r="A167" s="6" t="s">
        <v>121</v>
      </c>
      <c r="B167" s="4">
        <v>116</v>
      </c>
      <c r="C167" s="2" t="s">
        <v>2310</v>
      </c>
      <c r="D167" s="2" t="s">
        <v>2</v>
      </c>
      <c r="E167" s="5" t="s">
        <v>412</v>
      </c>
      <c r="F167" s="2">
        <v>190</v>
      </c>
    </row>
    <row r="168" spans="1:6" x14ac:dyDescent="0.2">
      <c r="A168" s="6" t="s">
        <v>82</v>
      </c>
      <c r="B168" s="4">
        <v>77</v>
      </c>
      <c r="C168" s="2" t="s">
        <v>2309</v>
      </c>
      <c r="D168" s="2" t="s">
        <v>5</v>
      </c>
      <c r="E168" s="5" t="s">
        <v>409</v>
      </c>
      <c r="F168" s="2">
        <v>203</v>
      </c>
    </row>
    <row r="169" spans="1:6" x14ac:dyDescent="0.2">
      <c r="A169" s="6" t="s">
        <v>144</v>
      </c>
      <c r="B169" s="4">
        <v>139</v>
      </c>
      <c r="C169" s="2" t="s">
        <v>2310</v>
      </c>
      <c r="D169" s="2" t="s">
        <v>3</v>
      </c>
      <c r="E169" s="6" t="s">
        <v>408</v>
      </c>
      <c r="F169" s="2">
        <v>129</v>
      </c>
    </row>
    <row r="170" spans="1:6" x14ac:dyDescent="0.2">
      <c r="A170" s="6" t="s">
        <v>378</v>
      </c>
      <c r="B170" s="4">
        <v>374</v>
      </c>
      <c r="C170" s="2" t="s">
        <v>2307</v>
      </c>
      <c r="D170" s="2" t="s">
        <v>4</v>
      </c>
      <c r="E170" s="5" t="s">
        <v>412</v>
      </c>
      <c r="F170" s="2">
        <v>289</v>
      </c>
    </row>
    <row r="171" spans="1:6" x14ac:dyDescent="0.2">
      <c r="A171" s="6" t="s">
        <v>252</v>
      </c>
      <c r="B171" s="4">
        <v>248</v>
      </c>
      <c r="C171" s="2" t="s">
        <v>2308</v>
      </c>
      <c r="D171" s="2" t="s">
        <v>4</v>
      </c>
      <c r="E171" s="7" t="s">
        <v>409</v>
      </c>
      <c r="F171" s="2">
        <v>296</v>
      </c>
    </row>
    <row r="172" spans="1:6" x14ac:dyDescent="0.2">
      <c r="A172" s="6" t="s">
        <v>32</v>
      </c>
      <c r="B172" s="4">
        <v>27</v>
      </c>
      <c r="C172" s="2" t="s">
        <v>2309</v>
      </c>
      <c r="D172" s="2" t="s">
        <v>2</v>
      </c>
      <c r="E172" s="5" t="s">
        <v>411</v>
      </c>
      <c r="F172" s="2">
        <v>267</v>
      </c>
    </row>
    <row r="173" spans="1:6" x14ac:dyDescent="0.2">
      <c r="A173" s="6" t="s">
        <v>180</v>
      </c>
      <c r="B173" s="4">
        <v>175</v>
      </c>
      <c r="C173" s="2" t="s">
        <v>2310</v>
      </c>
      <c r="D173" s="2" t="s">
        <v>5</v>
      </c>
      <c r="E173" s="5" t="s">
        <v>411</v>
      </c>
      <c r="F173" s="2">
        <v>158</v>
      </c>
    </row>
    <row r="174" spans="1:6" x14ac:dyDescent="0.2">
      <c r="A174" s="6" t="s">
        <v>9</v>
      </c>
      <c r="B174" s="4">
        <v>4</v>
      </c>
      <c r="C174" s="2" t="s">
        <v>2309</v>
      </c>
      <c r="D174" s="2" t="s">
        <v>2</v>
      </c>
      <c r="E174" s="5" t="s">
        <v>410</v>
      </c>
      <c r="F174" s="2">
        <v>142</v>
      </c>
    </row>
    <row r="175" spans="1:6" x14ac:dyDescent="0.2">
      <c r="A175" s="6" t="s">
        <v>217</v>
      </c>
      <c r="B175" s="4">
        <v>213</v>
      </c>
      <c r="C175" s="2" t="s">
        <v>2308</v>
      </c>
      <c r="D175" s="2" t="s">
        <v>2</v>
      </c>
      <c r="E175" s="5" t="s">
        <v>412</v>
      </c>
      <c r="F175" s="2">
        <v>298</v>
      </c>
    </row>
    <row r="176" spans="1:6" x14ac:dyDescent="0.2">
      <c r="A176" s="6" t="s">
        <v>23</v>
      </c>
      <c r="B176" s="4">
        <v>18</v>
      </c>
      <c r="C176" s="2" t="s">
        <v>2309</v>
      </c>
      <c r="D176" s="2" t="s">
        <v>2</v>
      </c>
      <c r="E176" s="5" t="s">
        <v>412</v>
      </c>
      <c r="F176" s="2">
        <v>227</v>
      </c>
    </row>
    <row r="177" spans="1:6" x14ac:dyDescent="0.2">
      <c r="A177" s="6" t="s">
        <v>242</v>
      </c>
      <c r="B177" s="4">
        <v>238</v>
      </c>
      <c r="C177" s="2" t="s">
        <v>2308</v>
      </c>
      <c r="D177" s="2" t="s">
        <v>3</v>
      </c>
      <c r="E177" s="7" t="s">
        <v>411</v>
      </c>
      <c r="F177" s="2">
        <v>133</v>
      </c>
    </row>
    <row r="178" spans="1:6" x14ac:dyDescent="0.2">
      <c r="A178" s="6" t="s">
        <v>365</v>
      </c>
      <c r="B178" s="4">
        <v>361</v>
      </c>
      <c r="C178" s="2" t="s">
        <v>2307</v>
      </c>
      <c r="D178" s="2" t="s">
        <v>4</v>
      </c>
      <c r="E178" s="5" t="s">
        <v>410</v>
      </c>
      <c r="F178" s="2">
        <v>228</v>
      </c>
    </row>
    <row r="179" spans="1:6" x14ac:dyDescent="0.2">
      <c r="A179" s="6" t="s">
        <v>393</v>
      </c>
      <c r="B179" s="4">
        <v>389</v>
      </c>
      <c r="C179" s="2" t="s">
        <v>2307</v>
      </c>
      <c r="D179" s="2" t="s">
        <v>5</v>
      </c>
      <c r="E179" s="5" t="s">
        <v>412</v>
      </c>
      <c r="F179" s="2">
        <v>245</v>
      </c>
    </row>
    <row r="180" spans="1:6" x14ac:dyDescent="0.2">
      <c r="A180" s="6" t="s">
        <v>53</v>
      </c>
      <c r="B180" s="4">
        <v>48</v>
      </c>
      <c r="C180" s="2" t="s">
        <v>2309</v>
      </c>
      <c r="D180" s="2" t="s">
        <v>3</v>
      </c>
      <c r="E180" s="5" t="s">
        <v>412</v>
      </c>
      <c r="F180" s="2">
        <v>252</v>
      </c>
    </row>
    <row r="181" spans="1:6" x14ac:dyDescent="0.2">
      <c r="A181" s="6" t="s">
        <v>260</v>
      </c>
      <c r="B181" s="4">
        <v>256</v>
      </c>
      <c r="C181" s="2" t="s">
        <v>2308</v>
      </c>
      <c r="D181" s="2" t="s">
        <v>4</v>
      </c>
      <c r="E181" s="6" t="s">
        <v>408</v>
      </c>
      <c r="F181" s="2">
        <v>277</v>
      </c>
    </row>
    <row r="182" spans="1:6" x14ac:dyDescent="0.2">
      <c r="A182" s="6" t="s">
        <v>20</v>
      </c>
      <c r="B182" s="4">
        <v>15</v>
      </c>
      <c r="C182" s="2" t="s">
        <v>2309</v>
      </c>
      <c r="D182" s="2" t="s">
        <v>2</v>
      </c>
      <c r="E182" s="5" t="s">
        <v>409</v>
      </c>
      <c r="F182" s="2">
        <v>167</v>
      </c>
    </row>
    <row r="183" spans="1:6" x14ac:dyDescent="0.2">
      <c r="A183" s="6" t="s">
        <v>368</v>
      </c>
      <c r="B183" s="4">
        <v>364</v>
      </c>
      <c r="C183" s="2" t="s">
        <v>2307</v>
      </c>
      <c r="D183" s="2" t="s">
        <v>4</v>
      </c>
      <c r="E183" s="5" t="s">
        <v>408</v>
      </c>
      <c r="F183" s="2">
        <v>288</v>
      </c>
    </row>
    <row r="184" spans="1:6" x14ac:dyDescent="0.2">
      <c r="A184" s="6" t="s">
        <v>61</v>
      </c>
      <c r="B184" s="4">
        <v>56</v>
      </c>
      <c r="C184" s="2" t="s">
        <v>2309</v>
      </c>
      <c r="D184" s="2" t="s">
        <v>4</v>
      </c>
      <c r="E184" s="5" t="s">
        <v>411</v>
      </c>
      <c r="F184" s="2">
        <v>223</v>
      </c>
    </row>
    <row r="185" spans="1:6" x14ac:dyDescent="0.2">
      <c r="A185" s="6" t="s">
        <v>268</v>
      </c>
      <c r="B185" s="4">
        <v>264</v>
      </c>
      <c r="C185" s="2" t="s">
        <v>2308</v>
      </c>
      <c r="D185" s="2" t="s">
        <v>4</v>
      </c>
      <c r="E185" s="5" t="s">
        <v>410</v>
      </c>
      <c r="F185" s="2">
        <v>289</v>
      </c>
    </row>
    <row r="186" spans="1:6" x14ac:dyDescent="0.2">
      <c r="A186" s="6" t="s">
        <v>144</v>
      </c>
      <c r="B186" s="4">
        <v>139</v>
      </c>
      <c r="C186" s="2" t="s">
        <v>2310</v>
      </c>
      <c r="D186" s="2" t="s">
        <v>3</v>
      </c>
      <c r="E186" s="7" t="s">
        <v>409</v>
      </c>
      <c r="F186" s="2">
        <v>148</v>
      </c>
    </row>
    <row r="187" spans="1:6" x14ac:dyDescent="0.2">
      <c r="A187" s="6" t="s">
        <v>260</v>
      </c>
      <c r="B187" s="4">
        <v>256</v>
      </c>
      <c r="C187" s="2" t="s">
        <v>2308</v>
      </c>
      <c r="D187" s="2" t="s">
        <v>4</v>
      </c>
      <c r="E187" s="5" t="s">
        <v>411</v>
      </c>
      <c r="F187" s="2">
        <v>160</v>
      </c>
    </row>
    <row r="188" spans="1:6" x14ac:dyDescent="0.2">
      <c r="A188" s="6" t="s">
        <v>17</v>
      </c>
      <c r="B188" s="4">
        <v>12</v>
      </c>
      <c r="C188" s="2" t="s">
        <v>2309</v>
      </c>
      <c r="D188" s="2" t="s">
        <v>2</v>
      </c>
      <c r="E188" s="5" t="s">
        <v>411</v>
      </c>
      <c r="F188" s="2">
        <v>162</v>
      </c>
    </row>
    <row r="189" spans="1:6" x14ac:dyDescent="0.2">
      <c r="A189" s="6" t="s">
        <v>226</v>
      </c>
      <c r="B189" s="4">
        <v>222</v>
      </c>
      <c r="C189" s="2" t="s">
        <v>2308</v>
      </c>
      <c r="D189" s="2" t="s">
        <v>3</v>
      </c>
      <c r="E189" s="6" t="s">
        <v>408</v>
      </c>
      <c r="F189" s="2">
        <v>146</v>
      </c>
    </row>
    <row r="190" spans="1:6" x14ac:dyDescent="0.2">
      <c r="A190" s="6" t="s">
        <v>361</v>
      </c>
      <c r="B190" s="4">
        <v>357</v>
      </c>
      <c r="C190" s="2" t="s">
        <v>2307</v>
      </c>
      <c r="D190" s="2" t="s">
        <v>4</v>
      </c>
      <c r="E190" s="5" t="s">
        <v>408</v>
      </c>
      <c r="F190" s="2">
        <v>279</v>
      </c>
    </row>
    <row r="191" spans="1:6" x14ac:dyDescent="0.2">
      <c r="A191" s="6" t="s">
        <v>63</v>
      </c>
      <c r="B191" s="4">
        <v>58</v>
      </c>
      <c r="C191" s="2" t="s">
        <v>2309</v>
      </c>
      <c r="D191" s="2" t="s">
        <v>4</v>
      </c>
      <c r="E191" s="5" t="s">
        <v>412</v>
      </c>
      <c r="F191" s="2">
        <v>220</v>
      </c>
    </row>
    <row r="192" spans="1:6" x14ac:dyDescent="0.2">
      <c r="A192" s="6" t="s">
        <v>319</v>
      </c>
      <c r="B192" s="4">
        <v>315</v>
      </c>
      <c r="C192" s="2" t="s">
        <v>2307</v>
      </c>
      <c r="D192" s="2" t="s">
        <v>2</v>
      </c>
      <c r="E192" s="5" t="s">
        <v>412</v>
      </c>
      <c r="F192" s="2">
        <v>196</v>
      </c>
    </row>
    <row r="193" spans="1:6" x14ac:dyDescent="0.2">
      <c r="A193" s="6" t="s">
        <v>371</v>
      </c>
      <c r="B193" s="4">
        <v>367</v>
      </c>
      <c r="C193" s="2" t="s">
        <v>2307</v>
      </c>
      <c r="D193" s="2" t="s">
        <v>4</v>
      </c>
      <c r="E193" s="5" t="s">
        <v>409</v>
      </c>
      <c r="F193" s="2">
        <v>256</v>
      </c>
    </row>
    <row r="194" spans="1:6" x14ac:dyDescent="0.2">
      <c r="A194" s="6" t="s">
        <v>153</v>
      </c>
      <c r="B194" s="4">
        <v>148</v>
      </c>
      <c r="C194" s="2" t="s">
        <v>2310</v>
      </c>
      <c r="D194" s="2" t="s">
        <v>4</v>
      </c>
      <c r="E194" s="6" t="s">
        <v>408</v>
      </c>
      <c r="F194" s="2">
        <v>291</v>
      </c>
    </row>
    <row r="195" spans="1:6" x14ac:dyDescent="0.2">
      <c r="A195" s="6" t="s">
        <v>114</v>
      </c>
      <c r="B195" s="4">
        <v>109</v>
      </c>
      <c r="C195" s="2" t="s">
        <v>2310</v>
      </c>
      <c r="D195" s="2" t="s">
        <v>2</v>
      </c>
      <c r="E195" s="5" t="s">
        <v>412</v>
      </c>
      <c r="F195" s="2">
        <v>195</v>
      </c>
    </row>
    <row r="196" spans="1:6" x14ac:dyDescent="0.2">
      <c r="A196" s="6" t="s">
        <v>303</v>
      </c>
      <c r="B196" s="4">
        <v>299</v>
      </c>
      <c r="C196" s="2" t="s">
        <v>2307</v>
      </c>
      <c r="D196" s="2" t="s">
        <v>2</v>
      </c>
      <c r="E196" s="5" t="s">
        <v>409</v>
      </c>
      <c r="F196" s="2">
        <v>223</v>
      </c>
    </row>
    <row r="197" spans="1:6" x14ac:dyDescent="0.2">
      <c r="A197" s="6" t="s">
        <v>299</v>
      </c>
      <c r="B197" s="4">
        <v>295</v>
      </c>
      <c r="C197" s="2" t="s">
        <v>2308</v>
      </c>
      <c r="D197" s="2" t="s">
        <v>5</v>
      </c>
      <c r="E197" s="5" t="s">
        <v>411</v>
      </c>
      <c r="F197" s="2">
        <v>210</v>
      </c>
    </row>
    <row r="198" spans="1:6" x14ac:dyDescent="0.2">
      <c r="A198" s="6" t="s">
        <v>136</v>
      </c>
      <c r="B198" s="4">
        <v>131</v>
      </c>
      <c r="C198" s="2" t="s">
        <v>2310</v>
      </c>
      <c r="D198" s="2" t="s">
        <v>3</v>
      </c>
      <c r="E198" s="7" t="s">
        <v>409</v>
      </c>
      <c r="F198" s="2">
        <v>170</v>
      </c>
    </row>
    <row r="199" spans="1:6" x14ac:dyDescent="0.2">
      <c r="A199" s="6" t="s">
        <v>73</v>
      </c>
      <c r="B199" s="4">
        <v>68</v>
      </c>
      <c r="C199" s="2" t="s">
        <v>2309</v>
      </c>
      <c r="D199" s="2" t="s">
        <v>4</v>
      </c>
      <c r="E199" s="5" t="s">
        <v>408</v>
      </c>
      <c r="F199" s="2">
        <v>219</v>
      </c>
    </row>
    <row r="200" spans="1:6" x14ac:dyDescent="0.2">
      <c r="A200" s="6" t="s">
        <v>236</v>
      </c>
      <c r="B200" s="4">
        <v>232</v>
      </c>
      <c r="C200" s="2" t="s">
        <v>2308</v>
      </c>
      <c r="D200" s="2" t="s">
        <v>3</v>
      </c>
      <c r="E200" s="6" t="s">
        <v>408</v>
      </c>
      <c r="F200" s="2">
        <v>235</v>
      </c>
    </row>
    <row r="201" spans="1:6" x14ac:dyDescent="0.2">
      <c r="A201" s="6" t="s">
        <v>47</v>
      </c>
      <c r="B201" s="4">
        <v>42</v>
      </c>
      <c r="C201" s="2" t="s">
        <v>2309</v>
      </c>
      <c r="D201" s="2" t="s">
        <v>3</v>
      </c>
      <c r="E201" s="5" t="s">
        <v>412</v>
      </c>
      <c r="F201" s="2">
        <v>199</v>
      </c>
    </row>
    <row r="202" spans="1:6" x14ac:dyDescent="0.2">
      <c r="A202" s="6" t="s">
        <v>14</v>
      </c>
      <c r="B202" s="4">
        <v>9</v>
      </c>
      <c r="C202" s="2" t="s">
        <v>2309</v>
      </c>
      <c r="D202" s="2" t="s">
        <v>2</v>
      </c>
      <c r="E202" s="5" t="s">
        <v>408</v>
      </c>
      <c r="F202" s="2">
        <v>297</v>
      </c>
    </row>
    <row r="203" spans="1:6" x14ac:dyDescent="0.2">
      <c r="A203" s="6" t="s">
        <v>299</v>
      </c>
      <c r="B203" s="4">
        <v>295</v>
      </c>
      <c r="C203" s="2" t="s">
        <v>2308</v>
      </c>
      <c r="D203" s="2" t="s">
        <v>5</v>
      </c>
      <c r="E203" s="5" t="s">
        <v>410</v>
      </c>
      <c r="F203" s="2">
        <v>152</v>
      </c>
    </row>
    <row r="204" spans="1:6" x14ac:dyDescent="0.2">
      <c r="A204" s="6" t="s">
        <v>64</v>
      </c>
      <c r="B204" s="4">
        <v>59</v>
      </c>
      <c r="C204" s="2" t="s">
        <v>2309</v>
      </c>
      <c r="D204" s="2" t="s">
        <v>4</v>
      </c>
      <c r="E204" s="5" t="s">
        <v>412</v>
      </c>
      <c r="F204" s="2">
        <v>204</v>
      </c>
    </row>
    <row r="205" spans="1:6" x14ac:dyDescent="0.2">
      <c r="A205" s="6" t="s">
        <v>197</v>
      </c>
      <c r="B205" s="4">
        <v>193</v>
      </c>
      <c r="C205" s="2" t="s">
        <v>2308</v>
      </c>
      <c r="D205" s="2" t="s">
        <v>2</v>
      </c>
      <c r="E205" s="5" t="s">
        <v>409</v>
      </c>
      <c r="F205" s="2">
        <v>120</v>
      </c>
    </row>
    <row r="206" spans="1:6" x14ac:dyDescent="0.2">
      <c r="A206" s="6" t="s">
        <v>117</v>
      </c>
      <c r="B206" s="4">
        <v>112</v>
      </c>
      <c r="C206" s="2" t="s">
        <v>2310</v>
      </c>
      <c r="D206" s="2" t="s">
        <v>2</v>
      </c>
      <c r="E206" s="5" t="s">
        <v>408</v>
      </c>
      <c r="F206" s="2">
        <v>156</v>
      </c>
    </row>
    <row r="207" spans="1:6" x14ac:dyDescent="0.2">
      <c r="A207" s="6" t="s">
        <v>215</v>
      </c>
      <c r="B207" s="4">
        <v>211</v>
      </c>
      <c r="C207" s="2" t="s">
        <v>2308</v>
      </c>
      <c r="D207" s="2" t="s">
        <v>2</v>
      </c>
      <c r="E207" s="5" t="s">
        <v>412</v>
      </c>
      <c r="F207" s="2">
        <v>178</v>
      </c>
    </row>
    <row r="208" spans="1:6" x14ac:dyDescent="0.2">
      <c r="A208" s="6" t="s">
        <v>179</v>
      </c>
      <c r="B208" s="4">
        <v>174</v>
      </c>
      <c r="C208" s="2" t="s">
        <v>2310</v>
      </c>
      <c r="D208" s="2" t="s">
        <v>5</v>
      </c>
      <c r="E208" s="7" t="s">
        <v>409</v>
      </c>
      <c r="F208" s="2">
        <v>246</v>
      </c>
    </row>
    <row r="209" spans="1:6" x14ac:dyDescent="0.2">
      <c r="A209" s="6" t="s">
        <v>299</v>
      </c>
      <c r="B209" s="4">
        <v>295</v>
      </c>
      <c r="C209" s="2" t="s">
        <v>2308</v>
      </c>
      <c r="D209" s="2" t="s">
        <v>5</v>
      </c>
      <c r="E209" s="5" t="s">
        <v>412</v>
      </c>
      <c r="F209" s="2">
        <v>284</v>
      </c>
    </row>
    <row r="210" spans="1:6" x14ac:dyDescent="0.2">
      <c r="A210" s="6" t="s">
        <v>161</v>
      </c>
      <c r="B210" s="4">
        <v>156</v>
      </c>
      <c r="C210" s="2" t="s">
        <v>2310</v>
      </c>
      <c r="D210" s="2" t="s">
        <v>4</v>
      </c>
      <c r="E210" s="7" t="s">
        <v>409</v>
      </c>
      <c r="F210" s="2">
        <v>234</v>
      </c>
    </row>
    <row r="211" spans="1:6" x14ac:dyDescent="0.2">
      <c r="A211" s="6" t="s">
        <v>232</v>
      </c>
      <c r="B211" s="4">
        <v>228</v>
      </c>
      <c r="C211" s="2" t="s">
        <v>2308</v>
      </c>
      <c r="D211" s="2" t="s">
        <v>3</v>
      </c>
      <c r="E211" s="6" t="s">
        <v>408</v>
      </c>
      <c r="F211" s="2">
        <v>227</v>
      </c>
    </row>
    <row r="212" spans="1:6" x14ac:dyDescent="0.2">
      <c r="A212" s="6" t="s">
        <v>97</v>
      </c>
      <c r="B212" s="4">
        <v>92</v>
      </c>
      <c r="C212" s="2" t="s">
        <v>2309</v>
      </c>
      <c r="D212" s="2" t="s">
        <v>5</v>
      </c>
      <c r="E212" s="5" t="s">
        <v>411</v>
      </c>
      <c r="F212" s="2">
        <v>143</v>
      </c>
    </row>
    <row r="213" spans="1:6" x14ac:dyDescent="0.2">
      <c r="A213" s="6" t="s">
        <v>69</v>
      </c>
      <c r="B213" s="4">
        <v>64</v>
      </c>
      <c r="C213" s="2" t="s">
        <v>2309</v>
      </c>
      <c r="D213" s="2" t="s">
        <v>4</v>
      </c>
      <c r="E213" s="5" t="s">
        <v>412</v>
      </c>
      <c r="F213" s="2">
        <v>175</v>
      </c>
    </row>
    <row r="214" spans="1:6" x14ac:dyDescent="0.2">
      <c r="A214" s="6" t="s">
        <v>181</v>
      </c>
      <c r="B214" s="4">
        <v>176</v>
      </c>
      <c r="C214" s="2" t="s">
        <v>2310</v>
      </c>
      <c r="D214" s="2" t="s">
        <v>5</v>
      </c>
      <c r="E214" s="7" t="s">
        <v>409</v>
      </c>
      <c r="F214" s="2">
        <v>167</v>
      </c>
    </row>
    <row r="215" spans="1:6" x14ac:dyDescent="0.2">
      <c r="A215" s="6" t="s">
        <v>397</v>
      </c>
      <c r="B215" s="4">
        <v>393</v>
      </c>
      <c r="C215" s="2" t="s">
        <v>2307</v>
      </c>
      <c r="D215" s="2" t="s">
        <v>5</v>
      </c>
      <c r="E215" s="5" t="s">
        <v>411</v>
      </c>
      <c r="F215" s="2">
        <v>205</v>
      </c>
    </row>
    <row r="216" spans="1:6" x14ac:dyDescent="0.2">
      <c r="A216" s="6" t="s">
        <v>378</v>
      </c>
      <c r="B216" s="4">
        <v>374</v>
      </c>
      <c r="C216" s="2" t="s">
        <v>2307</v>
      </c>
      <c r="D216" s="2" t="s">
        <v>4</v>
      </c>
      <c r="E216" s="5" t="s">
        <v>410</v>
      </c>
      <c r="F216" s="2">
        <v>267</v>
      </c>
    </row>
    <row r="217" spans="1:6" x14ac:dyDescent="0.2">
      <c r="A217" s="6" t="s">
        <v>236</v>
      </c>
      <c r="B217" s="4">
        <v>232</v>
      </c>
      <c r="C217" s="2" t="s">
        <v>2308</v>
      </c>
      <c r="D217" s="2" t="s">
        <v>3</v>
      </c>
      <c r="E217" s="7" t="s">
        <v>410</v>
      </c>
      <c r="F217" s="2">
        <v>209</v>
      </c>
    </row>
    <row r="218" spans="1:6" x14ac:dyDescent="0.2">
      <c r="A218" s="6" t="s">
        <v>199</v>
      </c>
      <c r="B218" s="4">
        <v>195</v>
      </c>
      <c r="C218" s="2" t="s">
        <v>2308</v>
      </c>
      <c r="D218" s="2" t="s">
        <v>2</v>
      </c>
      <c r="E218" s="5" t="s">
        <v>412</v>
      </c>
      <c r="F218" s="2">
        <v>223</v>
      </c>
    </row>
    <row r="219" spans="1:6" x14ac:dyDescent="0.2">
      <c r="A219" s="6" t="s">
        <v>287</v>
      </c>
      <c r="B219" s="4">
        <v>283</v>
      </c>
      <c r="C219" s="2" t="s">
        <v>2308</v>
      </c>
      <c r="D219" s="2" t="s">
        <v>5</v>
      </c>
      <c r="E219" s="5" t="s">
        <v>409</v>
      </c>
      <c r="F219" s="2">
        <v>298</v>
      </c>
    </row>
    <row r="220" spans="1:6" x14ac:dyDescent="0.2">
      <c r="A220" s="6" t="s">
        <v>47</v>
      </c>
      <c r="B220" s="4">
        <v>42</v>
      </c>
      <c r="C220" s="2" t="s">
        <v>2309</v>
      </c>
      <c r="D220" s="2" t="s">
        <v>3</v>
      </c>
      <c r="E220" s="5" t="s">
        <v>410</v>
      </c>
      <c r="F220" s="2">
        <v>172</v>
      </c>
    </row>
    <row r="221" spans="1:6" x14ac:dyDescent="0.2">
      <c r="A221" s="6" t="s">
        <v>336</v>
      </c>
      <c r="B221" s="4">
        <v>332</v>
      </c>
      <c r="C221" s="2" t="s">
        <v>2307</v>
      </c>
      <c r="D221" s="2" t="s">
        <v>3</v>
      </c>
      <c r="E221" s="5" t="s">
        <v>408</v>
      </c>
      <c r="F221" s="2">
        <v>169</v>
      </c>
    </row>
    <row r="222" spans="1:6" x14ac:dyDescent="0.2">
      <c r="A222" s="6" t="s">
        <v>39</v>
      </c>
      <c r="B222" s="4">
        <v>34</v>
      </c>
      <c r="C222" s="2" t="s">
        <v>2309</v>
      </c>
      <c r="D222" s="2" t="s">
        <v>3</v>
      </c>
      <c r="E222" s="5" t="s">
        <v>408</v>
      </c>
      <c r="F222" s="2">
        <v>291</v>
      </c>
    </row>
    <row r="223" spans="1:6" x14ac:dyDescent="0.2">
      <c r="A223" s="6" t="s">
        <v>365</v>
      </c>
      <c r="B223" s="4">
        <v>361</v>
      </c>
      <c r="C223" s="2" t="s">
        <v>2307</v>
      </c>
      <c r="D223" s="2" t="s">
        <v>4</v>
      </c>
      <c r="E223" s="5" t="s">
        <v>412</v>
      </c>
      <c r="F223" s="2">
        <v>217</v>
      </c>
    </row>
    <row r="224" spans="1:6" x14ac:dyDescent="0.2">
      <c r="A224" s="6" t="s">
        <v>131</v>
      </c>
      <c r="B224" s="4">
        <v>126</v>
      </c>
      <c r="C224" s="2" t="s">
        <v>2310</v>
      </c>
      <c r="D224" s="2" t="s">
        <v>3</v>
      </c>
      <c r="E224" s="7" t="s">
        <v>410</v>
      </c>
      <c r="F224" s="2">
        <v>222</v>
      </c>
    </row>
    <row r="225" spans="1:6" x14ac:dyDescent="0.2">
      <c r="A225" s="6" t="s">
        <v>353</v>
      </c>
      <c r="B225" s="4">
        <v>349</v>
      </c>
      <c r="C225" s="2" t="s">
        <v>2307</v>
      </c>
      <c r="D225" s="2" t="s">
        <v>3</v>
      </c>
      <c r="E225" s="5" t="s">
        <v>409</v>
      </c>
      <c r="F225" s="2">
        <v>252</v>
      </c>
    </row>
    <row r="226" spans="1:6" x14ac:dyDescent="0.2">
      <c r="A226" s="6" t="s">
        <v>216</v>
      </c>
      <c r="B226" s="4">
        <v>212</v>
      </c>
      <c r="C226" s="2" t="s">
        <v>2308</v>
      </c>
      <c r="D226" s="2" t="s">
        <v>2</v>
      </c>
      <c r="E226" s="6" t="s">
        <v>408</v>
      </c>
      <c r="F226" s="2">
        <v>162</v>
      </c>
    </row>
    <row r="227" spans="1:6" x14ac:dyDescent="0.2">
      <c r="A227" s="6" t="s">
        <v>379</v>
      </c>
      <c r="B227" s="4">
        <v>375</v>
      </c>
      <c r="C227" s="2" t="s">
        <v>2307</v>
      </c>
      <c r="D227" s="2" t="s">
        <v>4</v>
      </c>
      <c r="E227" s="5" t="s">
        <v>408</v>
      </c>
      <c r="F227" s="2">
        <v>263</v>
      </c>
    </row>
    <row r="228" spans="1:6" x14ac:dyDescent="0.2">
      <c r="A228" s="6" t="s">
        <v>12</v>
      </c>
      <c r="B228" s="4">
        <v>7</v>
      </c>
      <c r="C228" s="2" t="s">
        <v>2309</v>
      </c>
      <c r="D228" s="2" t="s">
        <v>2</v>
      </c>
      <c r="E228" s="5" t="s">
        <v>410</v>
      </c>
      <c r="F228" s="2">
        <v>176</v>
      </c>
    </row>
    <row r="229" spans="1:6" x14ac:dyDescent="0.2">
      <c r="A229" s="6" t="s">
        <v>100</v>
      </c>
      <c r="B229" s="4">
        <v>95</v>
      </c>
      <c r="C229" s="2" t="s">
        <v>2309</v>
      </c>
      <c r="D229" s="2" t="s">
        <v>5</v>
      </c>
      <c r="E229" s="5" t="s">
        <v>410</v>
      </c>
      <c r="F229" s="2">
        <v>232</v>
      </c>
    </row>
    <row r="230" spans="1:6" x14ac:dyDescent="0.2">
      <c r="A230" s="6" t="s">
        <v>175</v>
      </c>
      <c r="B230" s="4">
        <v>170</v>
      </c>
      <c r="C230" s="2" t="s">
        <v>2310</v>
      </c>
      <c r="D230" s="2" t="s">
        <v>5</v>
      </c>
      <c r="E230" s="5" t="s">
        <v>412</v>
      </c>
      <c r="F230" s="2">
        <v>145</v>
      </c>
    </row>
    <row r="231" spans="1:6" x14ac:dyDescent="0.2">
      <c r="A231" s="6" t="s">
        <v>38</v>
      </c>
      <c r="B231" s="4">
        <v>33</v>
      </c>
      <c r="C231" s="2" t="s">
        <v>2309</v>
      </c>
      <c r="D231" s="2" t="s">
        <v>3</v>
      </c>
      <c r="E231" s="5" t="s">
        <v>410</v>
      </c>
      <c r="F231" s="2">
        <v>153</v>
      </c>
    </row>
    <row r="232" spans="1:6" x14ac:dyDescent="0.2">
      <c r="A232" s="6" t="s">
        <v>32</v>
      </c>
      <c r="B232" s="4">
        <v>27</v>
      </c>
      <c r="C232" s="2" t="s">
        <v>2309</v>
      </c>
      <c r="D232" s="2" t="s">
        <v>2</v>
      </c>
      <c r="E232" s="5" t="s">
        <v>408</v>
      </c>
      <c r="F232" s="2">
        <v>197</v>
      </c>
    </row>
    <row r="233" spans="1:6" x14ac:dyDescent="0.2">
      <c r="A233" s="6" t="s">
        <v>106</v>
      </c>
      <c r="B233" s="4">
        <v>101</v>
      </c>
      <c r="C233" s="2" t="s">
        <v>2310</v>
      </c>
      <c r="D233" s="2" t="s">
        <v>2</v>
      </c>
      <c r="E233" s="5" t="s">
        <v>409</v>
      </c>
      <c r="F233" s="2">
        <v>159</v>
      </c>
    </row>
    <row r="234" spans="1:6" x14ac:dyDescent="0.2">
      <c r="A234" s="6" t="s">
        <v>279</v>
      </c>
      <c r="B234" s="4">
        <v>275</v>
      </c>
      <c r="C234" s="2" t="s">
        <v>2308</v>
      </c>
      <c r="D234" s="2" t="s">
        <v>5</v>
      </c>
      <c r="E234" s="5" t="s">
        <v>411</v>
      </c>
      <c r="F234" s="2">
        <v>126</v>
      </c>
    </row>
    <row r="235" spans="1:6" x14ac:dyDescent="0.2">
      <c r="A235" s="6" t="s">
        <v>95</v>
      </c>
      <c r="B235" s="4">
        <v>90</v>
      </c>
      <c r="C235" s="2" t="s">
        <v>2309</v>
      </c>
      <c r="D235" s="2" t="s">
        <v>5</v>
      </c>
      <c r="E235" s="5" t="s">
        <v>411</v>
      </c>
      <c r="F235" s="2">
        <v>189</v>
      </c>
    </row>
    <row r="236" spans="1:6" x14ac:dyDescent="0.2">
      <c r="A236" s="6" t="s">
        <v>350</v>
      </c>
      <c r="B236" s="4">
        <v>346</v>
      </c>
      <c r="C236" s="2" t="s">
        <v>2307</v>
      </c>
      <c r="D236" s="2" t="s">
        <v>3</v>
      </c>
      <c r="E236" s="5" t="s">
        <v>412</v>
      </c>
      <c r="F236" s="2">
        <v>188</v>
      </c>
    </row>
    <row r="237" spans="1:6" x14ac:dyDescent="0.2">
      <c r="A237" s="6" t="s">
        <v>128</v>
      </c>
      <c r="B237" s="4">
        <v>123</v>
      </c>
      <c r="C237" s="2" t="s">
        <v>2310</v>
      </c>
      <c r="D237" s="2" t="s">
        <v>3</v>
      </c>
      <c r="E237" s="5" t="s">
        <v>412</v>
      </c>
      <c r="F237" s="2">
        <v>243</v>
      </c>
    </row>
    <row r="238" spans="1:6" x14ac:dyDescent="0.2">
      <c r="A238" s="6" t="s">
        <v>306</v>
      </c>
      <c r="B238" s="4">
        <v>302</v>
      </c>
      <c r="C238" s="2" t="s">
        <v>2307</v>
      </c>
      <c r="D238" s="2" t="s">
        <v>2</v>
      </c>
      <c r="E238" s="5" t="s">
        <v>412</v>
      </c>
      <c r="F238" s="2">
        <v>201</v>
      </c>
    </row>
    <row r="239" spans="1:6" x14ac:dyDescent="0.2">
      <c r="A239" s="6" t="s">
        <v>261</v>
      </c>
      <c r="B239" s="4">
        <v>257</v>
      </c>
      <c r="C239" s="2" t="s">
        <v>2308</v>
      </c>
      <c r="D239" s="2" t="s">
        <v>4</v>
      </c>
      <c r="E239" s="5" t="s">
        <v>410</v>
      </c>
      <c r="F239" s="2">
        <v>131</v>
      </c>
    </row>
    <row r="240" spans="1:6" x14ac:dyDescent="0.2">
      <c r="A240" s="6" t="s">
        <v>82</v>
      </c>
      <c r="B240" s="4">
        <v>77</v>
      </c>
      <c r="C240" s="2" t="s">
        <v>2309</v>
      </c>
      <c r="D240" s="2" t="s">
        <v>5</v>
      </c>
      <c r="E240" s="5" t="s">
        <v>412</v>
      </c>
      <c r="F240" s="2">
        <v>250</v>
      </c>
    </row>
    <row r="241" spans="1:6" x14ac:dyDescent="0.2">
      <c r="A241" s="6" t="s">
        <v>64</v>
      </c>
      <c r="B241" s="4">
        <v>59</v>
      </c>
      <c r="C241" s="2" t="s">
        <v>2309</v>
      </c>
      <c r="D241" s="2" t="s">
        <v>4</v>
      </c>
      <c r="E241" s="5" t="s">
        <v>409</v>
      </c>
      <c r="F241" s="2">
        <v>160</v>
      </c>
    </row>
    <row r="242" spans="1:6" x14ac:dyDescent="0.2">
      <c r="A242" s="6" t="s">
        <v>329</v>
      </c>
      <c r="B242" s="4">
        <v>325</v>
      </c>
      <c r="C242" s="2" t="s">
        <v>2307</v>
      </c>
      <c r="D242" s="2" t="s">
        <v>2</v>
      </c>
      <c r="E242" s="5" t="s">
        <v>412</v>
      </c>
      <c r="F242" s="2">
        <v>194</v>
      </c>
    </row>
    <row r="243" spans="1:6" x14ac:dyDescent="0.2">
      <c r="A243" s="6" t="s">
        <v>257</v>
      </c>
      <c r="B243" s="4">
        <v>253</v>
      </c>
      <c r="C243" s="2" t="s">
        <v>2308</v>
      </c>
      <c r="D243" s="2" t="s">
        <v>4</v>
      </c>
      <c r="E243" s="5" t="s">
        <v>410</v>
      </c>
      <c r="F243" s="2">
        <v>259</v>
      </c>
    </row>
    <row r="244" spans="1:6" x14ac:dyDescent="0.2">
      <c r="A244" s="6" t="s">
        <v>214</v>
      </c>
      <c r="B244" s="4">
        <v>210</v>
      </c>
      <c r="C244" s="2" t="s">
        <v>2308</v>
      </c>
      <c r="D244" s="2" t="s">
        <v>2</v>
      </c>
      <c r="E244" s="5" t="s">
        <v>411</v>
      </c>
      <c r="F244" s="2">
        <v>237</v>
      </c>
    </row>
    <row r="245" spans="1:6" x14ac:dyDescent="0.2">
      <c r="A245" s="6" t="s">
        <v>55</v>
      </c>
      <c r="B245" s="4">
        <v>50</v>
      </c>
      <c r="C245" s="2" t="s">
        <v>2309</v>
      </c>
      <c r="D245" s="2" t="s">
        <v>3</v>
      </c>
      <c r="E245" s="5" t="s">
        <v>409</v>
      </c>
      <c r="F245" s="2">
        <v>170</v>
      </c>
    </row>
    <row r="246" spans="1:6" x14ac:dyDescent="0.2">
      <c r="A246" s="6" t="s">
        <v>181</v>
      </c>
      <c r="B246" s="4">
        <v>176</v>
      </c>
      <c r="C246" s="2" t="s">
        <v>2310</v>
      </c>
      <c r="D246" s="2" t="s">
        <v>5</v>
      </c>
      <c r="E246" s="7" t="s">
        <v>410</v>
      </c>
      <c r="F246" s="2">
        <v>141</v>
      </c>
    </row>
    <row r="247" spans="1:6" x14ac:dyDescent="0.2">
      <c r="A247" s="6" t="s">
        <v>78</v>
      </c>
      <c r="B247" s="4">
        <v>73</v>
      </c>
      <c r="C247" s="2" t="s">
        <v>2309</v>
      </c>
      <c r="D247" s="2" t="s">
        <v>4</v>
      </c>
      <c r="E247" s="5" t="s">
        <v>410</v>
      </c>
      <c r="F247" s="2">
        <v>178</v>
      </c>
    </row>
    <row r="248" spans="1:6" x14ac:dyDescent="0.2">
      <c r="A248" s="6" t="s">
        <v>89</v>
      </c>
      <c r="B248" s="4">
        <v>84</v>
      </c>
      <c r="C248" s="2" t="s">
        <v>2309</v>
      </c>
      <c r="D248" s="2" t="s">
        <v>5</v>
      </c>
      <c r="E248" s="5" t="s">
        <v>409</v>
      </c>
      <c r="F248" s="2">
        <v>245</v>
      </c>
    </row>
    <row r="249" spans="1:6" x14ac:dyDescent="0.2">
      <c r="A249" s="6" t="s">
        <v>318</v>
      </c>
      <c r="B249" s="4">
        <v>314</v>
      </c>
      <c r="C249" s="2" t="s">
        <v>2307</v>
      </c>
      <c r="D249" s="2" t="s">
        <v>2</v>
      </c>
      <c r="E249" s="5" t="s">
        <v>411</v>
      </c>
      <c r="F249" s="2">
        <v>207</v>
      </c>
    </row>
    <row r="250" spans="1:6" x14ac:dyDescent="0.2">
      <c r="A250" s="6" t="s">
        <v>85</v>
      </c>
      <c r="B250" s="4">
        <v>80</v>
      </c>
      <c r="C250" s="2" t="s">
        <v>2309</v>
      </c>
      <c r="D250" s="2" t="s">
        <v>5</v>
      </c>
      <c r="E250" s="5" t="s">
        <v>409</v>
      </c>
      <c r="F250" s="2">
        <v>140</v>
      </c>
    </row>
    <row r="251" spans="1:6" x14ac:dyDescent="0.2">
      <c r="A251" s="6" t="s">
        <v>293</v>
      </c>
      <c r="B251" s="4">
        <v>289</v>
      </c>
      <c r="C251" s="2" t="s">
        <v>2308</v>
      </c>
      <c r="D251" s="2" t="s">
        <v>5</v>
      </c>
      <c r="E251" s="5" t="s">
        <v>409</v>
      </c>
      <c r="F251" s="2">
        <v>170</v>
      </c>
    </row>
    <row r="252" spans="1:6" x14ac:dyDescent="0.2">
      <c r="A252" s="6" t="s">
        <v>394</v>
      </c>
      <c r="B252" s="4">
        <v>390</v>
      </c>
      <c r="C252" s="2" t="s">
        <v>2307</v>
      </c>
      <c r="D252" s="2" t="s">
        <v>5</v>
      </c>
      <c r="E252" s="5" t="s">
        <v>412</v>
      </c>
      <c r="F252" s="2">
        <v>193</v>
      </c>
    </row>
    <row r="253" spans="1:6" x14ac:dyDescent="0.2">
      <c r="A253" s="6" t="s">
        <v>346</v>
      </c>
      <c r="B253" s="4">
        <v>342</v>
      </c>
      <c r="C253" s="2" t="s">
        <v>2307</v>
      </c>
      <c r="D253" s="2" t="s">
        <v>3</v>
      </c>
      <c r="E253" s="5" t="s">
        <v>411</v>
      </c>
      <c r="F253" s="2">
        <v>157</v>
      </c>
    </row>
    <row r="254" spans="1:6" x14ac:dyDescent="0.2">
      <c r="A254" s="6" t="s">
        <v>207</v>
      </c>
      <c r="B254" s="4">
        <v>203</v>
      </c>
      <c r="C254" s="2" t="s">
        <v>2308</v>
      </c>
      <c r="D254" s="2" t="s">
        <v>2</v>
      </c>
      <c r="E254" s="5" t="s">
        <v>412</v>
      </c>
      <c r="F254" s="2">
        <v>287</v>
      </c>
    </row>
    <row r="255" spans="1:6" x14ac:dyDescent="0.2">
      <c r="A255" s="6" t="s">
        <v>182</v>
      </c>
      <c r="B255" s="4">
        <v>177</v>
      </c>
      <c r="C255" s="2" t="s">
        <v>2310</v>
      </c>
      <c r="D255" s="2" t="s">
        <v>5</v>
      </c>
      <c r="E255" s="6" t="s">
        <v>408</v>
      </c>
      <c r="F255" s="2">
        <v>175</v>
      </c>
    </row>
    <row r="256" spans="1:6" x14ac:dyDescent="0.2">
      <c r="A256" s="6" t="s">
        <v>150</v>
      </c>
      <c r="B256" s="4">
        <v>145</v>
      </c>
      <c r="C256" s="2" t="s">
        <v>2310</v>
      </c>
      <c r="D256" s="2" t="s">
        <v>4</v>
      </c>
      <c r="E256" s="5" t="s">
        <v>412</v>
      </c>
      <c r="F256" s="2">
        <v>145</v>
      </c>
    </row>
    <row r="257" spans="1:6" x14ac:dyDescent="0.2">
      <c r="A257" s="6" t="s">
        <v>332</v>
      </c>
      <c r="B257" s="4">
        <v>328</v>
      </c>
      <c r="C257" s="2" t="s">
        <v>2307</v>
      </c>
      <c r="D257" s="2" t="s">
        <v>3</v>
      </c>
      <c r="E257" s="5" t="s">
        <v>410</v>
      </c>
      <c r="F257" s="2">
        <v>183</v>
      </c>
    </row>
    <row r="258" spans="1:6" x14ac:dyDescent="0.2">
      <c r="A258" s="6" t="s">
        <v>227</v>
      </c>
      <c r="B258" s="4">
        <v>223</v>
      </c>
      <c r="C258" s="2" t="s">
        <v>2308</v>
      </c>
      <c r="D258" s="2" t="s">
        <v>3</v>
      </c>
      <c r="E258" s="6" t="s">
        <v>408</v>
      </c>
      <c r="F258" s="2">
        <v>238</v>
      </c>
    </row>
    <row r="259" spans="1:6" x14ac:dyDescent="0.2">
      <c r="A259" s="6" t="s">
        <v>336</v>
      </c>
      <c r="B259" s="4">
        <v>332</v>
      </c>
      <c r="C259" s="2" t="s">
        <v>2307</v>
      </c>
      <c r="D259" s="2" t="s">
        <v>3</v>
      </c>
      <c r="E259" s="5" t="s">
        <v>411</v>
      </c>
      <c r="F259" s="2">
        <v>163</v>
      </c>
    </row>
    <row r="260" spans="1:6" x14ac:dyDescent="0.2">
      <c r="A260" s="6" t="s">
        <v>7</v>
      </c>
      <c r="B260" s="4">
        <v>2</v>
      </c>
      <c r="C260" s="2" t="s">
        <v>2309</v>
      </c>
      <c r="D260" s="2" t="s">
        <v>2</v>
      </c>
      <c r="E260" s="5" t="s">
        <v>410</v>
      </c>
      <c r="F260" s="2">
        <v>252</v>
      </c>
    </row>
    <row r="261" spans="1:6" x14ac:dyDescent="0.2">
      <c r="A261" s="6" t="s">
        <v>123</v>
      </c>
      <c r="B261" s="4">
        <v>118</v>
      </c>
      <c r="C261" s="2" t="s">
        <v>2310</v>
      </c>
      <c r="D261" s="2" t="s">
        <v>2</v>
      </c>
      <c r="E261" s="5" t="s">
        <v>410</v>
      </c>
      <c r="F261" s="2">
        <v>295</v>
      </c>
    </row>
    <row r="262" spans="1:6" x14ac:dyDescent="0.2">
      <c r="A262" s="6" t="s">
        <v>172</v>
      </c>
      <c r="B262" s="4">
        <v>167</v>
      </c>
      <c r="C262" s="2" t="s">
        <v>2310</v>
      </c>
      <c r="D262" s="2" t="s">
        <v>4</v>
      </c>
      <c r="E262" s="6" t="s">
        <v>408</v>
      </c>
      <c r="F262" s="2">
        <v>297</v>
      </c>
    </row>
    <row r="263" spans="1:6" x14ac:dyDescent="0.2">
      <c r="A263" s="6" t="s">
        <v>332</v>
      </c>
      <c r="B263" s="4">
        <v>328</v>
      </c>
      <c r="C263" s="2" t="s">
        <v>2307</v>
      </c>
      <c r="D263" s="2" t="s">
        <v>3</v>
      </c>
      <c r="E263" s="5" t="s">
        <v>408</v>
      </c>
      <c r="F263" s="2">
        <v>133</v>
      </c>
    </row>
    <row r="264" spans="1:6" x14ac:dyDescent="0.2">
      <c r="A264" s="6" t="s">
        <v>364</v>
      </c>
      <c r="B264" s="4">
        <v>360</v>
      </c>
      <c r="C264" s="2" t="s">
        <v>2307</v>
      </c>
      <c r="D264" s="2" t="s">
        <v>4</v>
      </c>
      <c r="E264" s="5" t="s">
        <v>410</v>
      </c>
      <c r="F264" s="2">
        <v>261</v>
      </c>
    </row>
    <row r="265" spans="1:6" x14ac:dyDescent="0.2">
      <c r="A265" s="6" t="s">
        <v>172</v>
      </c>
      <c r="B265" s="4">
        <v>167</v>
      </c>
      <c r="C265" s="2" t="s">
        <v>2310</v>
      </c>
      <c r="D265" s="2" t="s">
        <v>4</v>
      </c>
      <c r="E265" s="7" t="s">
        <v>409</v>
      </c>
      <c r="F265" s="2">
        <v>142</v>
      </c>
    </row>
    <row r="266" spans="1:6" x14ac:dyDescent="0.2">
      <c r="A266" s="6" t="s">
        <v>357</v>
      </c>
      <c r="B266" s="4">
        <v>353</v>
      </c>
      <c r="C266" s="2" t="s">
        <v>2307</v>
      </c>
      <c r="D266" s="2" t="s">
        <v>4</v>
      </c>
      <c r="E266" s="5" t="s">
        <v>409</v>
      </c>
      <c r="F266" s="2">
        <v>172</v>
      </c>
    </row>
    <row r="267" spans="1:6" x14ac:dyDescent="0.2">
      <c r="A267" s="6" t="s">
        <v>141</v>
      </c>
      <c r="B267" s="4">
        <v>136</v>
      </c>
      <c r="C267" s="2" t="s">
        <v>2310</v>
      </c>
      <c r="D267" s="2" t="s">
        <v>3</v>
      </c>
      <c r="E267" s="7" t="s">
        <v>410</v>
      </c>
      <c r="F267" s="2">
        <v>189</v>
      </c>
    </row>
    <row r="268" spans="1:6" x14ac:dyDescent="0.2">
      <c r="A268" s="6" t="s">
        <v>223</v>
      </c>
      <c r="B268" s="4">
        <v>219</v>
      </c>
      <c r="C268" s="2" t="s">
        <v>2308</v>
      </c>
      <c r="D268" s="2" t="s">
        <v>3</v>
      </c>
      <c r="E268" s="7" t="s">
        <v>410</v>
      </c>
      <c r="F268" s="2">
        <v>268</v>
      </c>
    </row>
    <row r="269" spans="1:6" x14ac:dyDescent="0.2">
      <c r="A269" s="6" t="s">
        <v>105</v>
      </c>
      <c r="B269" s="4">
        <v>100</v>
      </c>
      <c r="C269" s="2" t="s">
        <v>2310</v>
      </c>
      <c r="D269" s="2" t="s">
        <v>2</v>
      </c>
      <c r="E269" s="5" t="s">
        <v>411</v>
      </c>
      <c r="F269" s="2">
        <v>292</v>
      </c>
    </row>
    <row r="270" spans="1:6" x14ac:dyDescent="0.2">
      <c r="A270" s="6" t="s">
        <v>304</v>
      </c>
      <c r="B270" s="4">
        <v>300</v>
      </c>
      <c r="C270" s="2" t="s">
        <v>2307</v>
      </c>
      <c r="D270" s="2" t="s">
        <v>2</v>
      </c>
      <c r="E270" s="5" t="s">
        <v>408</v>
      </c>
      <c r="F270" s="2">
        <v>200</v>
      </c>
    </row>
    <row r="271" spans="1:6" x14ac:dyDescent="0.2">
      <c r="A271" s="6" t="s">
        <v>254</v>
      </c>
      <c r="B271" s="4">
        <v>250</v>
      </c>
      <c r="C271" s="2" t="s">
        <v>2308</v>
      </c>
      <c r="D271" s="2" t="s">
        <v>4</v>
      </c>
      <c r="E271" s="5" t="s">
        <v>410</v>
      </c>
      <c r="F271" s="2">
        <v>203</v>
      </c>
    </row>
    <row r="272" spans="1:6" x14ac:dyDescent="0.2">
      <c r="A272" s="6" t="s">
        <v>193</v>
      </c>
      <c r="B272" s="4">
        <v>189</v>
      </c>
      <c r="C272" s="2" t="s">
        <v>2310</v>
      </c>
      <c r="D272" s="2" t="s">
        <v>5</v>
      </c>
      <c r="E272" s="7" t="s">
        <v>410</v>
      </c>
      <c r="F272" s="2">
        <v>146</v>
      </c>
    </row>
    <row r="273" spans="1:6" x14ac:dyDescent="0.2">
      <c r="A273" s="6" t="s">
        <v>16</v>
      </c>
      <c r="B273" s="4">
        <v>11</v>
      </c>
      <c r="C273" s="2" t="s">
        <v>2309</v>
      </c>
      <c r="D273" s="2" t="s">
        <v>2</v>
      </c>
      <c r="E273" s="5" t="s">
        <v>409</v>
      </c>
      <c r="F273" s="2">
        <v>153</v>
      </c>
    </row>
    <row r="274" spans="1:6" x14ac:dyDescent="0.2">
      <c r="A274" s="6" t="s">
        <v>199</v>
      </c>
      <c r="B274" s="4">
        <v>195</v>
      </c>
      <c r="C274" s="2" t="s">
        <v>2308</v>
      </c>
      <c r="D274" s="2" t="s">
        <v>2</v>
      </c>
      <c r="E274" s="6" t="s">
        <v>408</v>
      </c>
      <c r="F274" s="2">
        <v>218</v>
      </c>
    </row>
    <row r="275" spans="1:6" x14ac:dyDescent="0.2">
      <c r="A275" s="6" t="s">
        <v>224</v>
      </c>
      <c r="B275" s="4">
        <v>220</v>
      </c>
      <c r="C275" s="2" t="s">
        <v>2308</v>
      </c>
      <c r="D275" s="2" t="s">
        <v>3</v>
      </c>
      <c r="E275" s="7" t="s">
        <v>411</v>
      </c>
      <c r="F275" s="2">
        <v>209</v>
      </c>
    </row>
    <row r="276" spans="1:6" x14ac:dyDescent="0.2">
      <c r="A276" s="6" t="s">
        <v>380</v>
      </c>
      <c r="B276" s="4">
        <v>376</v>
      </c>
      <c r="C276" s="2" t="s">
        <v>2307</v>
      </c>
      <c r="D276" s="2" t="s">
        <v>5</v>
      </c>
      <c r="E276" s="5" t="s">
        <v>408</v>
      </c>
      <c r="F276" s="2">
        <v>121</v>
      </c>
    </row>
    <row r="277" spans="1:6" x14ac:dyDescent="0.2">
      <c r="A277" s="6" t="s">
        <v>361</v>
      </c>
      <c r="B277" s="4">
        <v>357</v>
      </c>
      <c r="C277" s="2" t="s">
        <v>2307</v>
      </c>
      <c r="D277" s="2" t="s">
        <v>4</v>
      </c>
      <c r="E277" s="5" t="s">
        <v>412</v>
      </c>
      <c r="F277" s="2">
        <v>299</v>
      </c>
    </row>
    <row r="278" spans="1:6" x14ac:dyDescent="0.2">
      <c r="A278" s="6" t="s">
        <v>361</v>
      </c>
      <c r="B278" s="4">
        <v>357</v>
      </c>
      <c r="C278" s="2" t="s">
        <v>2307</v>
      </c>
      <c r="D278" s="2" t="s">
        <v>4</v>
      </c>
      <c r="E278" s="5" t="s">
        <v>410</v>
      </c>
      <c r="F278" s="2">
        <v>145</v>
      </c>
    </row>
    <row r="279" spans="1:6" x14ac:dyDescent="0.2">
      <c r="A279" s="6" t="s">
        <v>252</v>
      </c>
      <c r="B279" s="4">
        <v>248</v>
      </c>
      <c r="C279" s="2" t="s">
        <v>2308</v>
      </c>
      <c r="D279" s="2" t="s">
        <v>4</v>
      </c>
      <c r="E279" s="5" t="s">
        <v>410</v>
      </c>
      <c r="F279" s="2">
        <v>291</v>
      </c>
    </row>
    <row r="280" spans="1:6" x14ac:dyDescent="0.2">
      <c r="A280" s="6" t="s">
        <v>120</v>
      </c>
      <c r="B280" s="4">
        <v>115</v>
      </c>
      <c r="C280" s="2" t="s">
        <v>2310</v>
      </c>
      <c r="D280" s="2" t="s">
        <v>2</v>
      </c>
      <c r="E280" s="5" t="s">
        <v>412</v>
      </c>
      <c r="F280" s="2">
        <v>220</v>
      </c>
    </row>
    <row r="281" spans="1:6" x14ac:dyDescent="0.2">
      <c r="A281" s="6" t="s">
        <v>329</v>
      </c>
      <c r="B281" s="4">
        <v>325</v>
      </c>
      <c r="C281" s="2" t="s">
        <v>2307</v>
      </c>
      <c r="D281" s="2" t="s">
        <v>2</v>
      </c>
      <c r="E281" s="5" t="s">
        <v>411</v>
      </c>
      <c r="F281" s="2">
        <v>268</v>
      </c>
    </row>
    <row r="282" spans="1:6" x14ac:dyDescent="0.2">
      <c r="A282" s="6" t="s">
        <v>336</v>
      </c>
      <c r="B282" s="4">
        <v>332</v>
      </c>
      <c r="C282" s="2" t="s">
        <v>2307</v>
      </c>
      <c r="D282" s="2" t="s">
        <v>3</v>
      </c>
      <c r="E282" s="5" t="s">
        <v>410</v>
      </c>
      <c r="F282" s="2">
        <v>228</v>
      </c>
    </row>
    <row r="283" spans="1:6" x14ac:dyDescent="0.2">
      <c r="A283" s="6" t="s">
        <v>286</v>
      </c>
      <c r="B283" s="4">
        <v>282</v>
      </c>
      <c r="C283" s="2" t="s">
        <v>2308</v>
      </c>
      <c r="D283" s="2" t="s">
        <v>5</v>
      </c>
      <c r="E283" s="6" t="s">
        <v>408</v>
      </c>
      <c r="F283" s="2">
        <v>225</v>
      </c>
    </row>
    <row r="284" spans="1:6" x14ac:dyDescent="0.2">
      <c r="A284" s="6" t="s">
        <v>267</v>
      </c>
      <c r="B284" s="4">
        <v>263</v>
      </c>
      <c r="C284" s="2" t="s">
        <v>2308</v>
      </c>
      <c r="D284" s="2" t="s">
        <v>4</v>
      </c>
      <c r="E284" s="7" t="s">
        <v>409</v>
      </c>
      <c r="F284" s="2">
        <v>199</v>
      </c>
    </row>
    <row r="285" spans="1:6" x14ac:dyDescent="0.2">
      <c r="A285" s="6" t="s">
        <v>297</v>
      </c>
      <c r="B285" s="4">
        <v>293</v>
      </c>
      <c r="C285" s="2" t="s">
        <v>2308</v>
      </c>
      <c r="D285" s="2" t="s">
        <v>5</v>
      </c>
      <c r="E285" s="5" t="s">
        <v>412</v>
      </c>
      <c r="F285" s="2">
        <v>245</v>
      </c>
    </row>
    <row r="286" spans="1:6" x14ac:dyDescent="0.2">
      <c r="A286" s="6" t="s">
        <v>207</v>
      </c>
      <c r="B286" s="4">
        <v>203</v>
      </c>
      <c r="C286" s="2" t="s">
        <v>2308</v>
      </c>
      <c r="D286" s="2" t="s">
        <v>2</v>
      </c>
      <c r="E286" s="5" t="s">
        <v>409</v>
      </c>
      <c r="F286" s="2">
        <v>205</v>
      </c>
    </row>
    <row r="287" spans="1:6" x14ac:dyDescent="0.2">
      <c r="A287" s="6" t="s">
        <v>369</v>
      </c>
      <c r="B287" s="4">
        <v>365</v>
      </c>
      <c r="C287" s="2" t="s">
        <v>2307</v>
      </c>
      <c r="D287" s="2" t="s">
        <v>4</v>
      </c>
      <c r="E287" s="5" t="s">
        <v>408</v>
      </c>
      <c r="F287" s="2">
        <v>123</v>
      </c>
    </row>
    <row r="288" spans="1:6" x14ac:dyDescent="0.2">
      <c r="A288" s="6" t="s">
        <v>377</v>
      </c>
      <c r="B288" s="4">
        <v>373</v>
      </c>
      <c r="C288" s="2" t="s">
        <v>2307</v>
      </c>
      <c r="D288" s="2" t="s">
        <v>4</v>
      </c>
      <c r="E288" s="5" t="s">
        <v>411</v>
      </c>
      <c r="F288" s="2">
        <v>178</v>
      </c>
    </row>
    <row r="289" spans="1:6" x14ac:dyDescent="0.2">
      <c r="A289" s="6" t="s">
        <v>130</v>
      </c>
      <c r="B289" s="4">
        <v>125</v>
      </c>
      <c r="C289" s="2" t="s">
        <v>2310</v>
      </c>
      <c r="D289" s="2" t="s">
        <v>3</v>
      </c>
      <c r="E289" s="7" t="s">
        <v>409</v>
      </c>
      <c r="F289" s="2">
        <v>279</v>
      </c>
    </row>
    <row r="290" spans="1:6" x14ac:dyDescent="0.2">
      <c r="A290" s="6" t="s">
        <v>109</v>
      </c>
      <c r="B290" s="4">
        <v>104</v>
      </c>
      <c r="C290" s="2" t="s">
        <v>2310</v>
      </c>
      <c r="D290" s="2" t="s">
        <v>2</v>
      </c>
      <c r="E290" s="5" t="s">
        <v>412</v>
      </c>
      <c r="F290" s="2">
        <v>129</v>
      </c>
    </row>
    <row r="291" spans="1:6" x14ac:dyDescent="0.2">
      <c r="A291" s="6" t="s">
        <v>52</v>
      </c>
      <c r="B291" s="4">
        <v>47</v>
      </c>
      <c r="C291" s="2" t="s">
        <v>2309</v>
      </c>
      <c r="D291" s="2" t="s">
        <v>3</v>
      </c>
      <c r="E291" s="5" t="s">
        <v>412</v>
      </c>
      <c r="F291" s="2">
        <v>178</v>
      </c>
    </row>
    <row r="292" spans="1:6" x14ac:dyDescent="0.2">
      <c r="A292" s="6" t="s">
        <v>100</v>
      </c>
      <c r="B292" s="4">
        <v>95</v>
      </c>
      <c r="C292" s="2" t="s">
        <v>2309</v>
      </c>
      <c r="D292" s="2" t="s">
        <v>5</v>
      </c>
      <c r="E292" s="5" t="s">
        <v>412</v>
      </c>
      <c r="F292" s="2">
        <v>273</v>
      </c>
    </row>
    <row r="293" spans="1:6" x14ac:dyDescent="0.2">
      <c r="A293" s="6" t="s">
        <v>353</v>
      </c>
      <c r="B293" s="4">
        <v>349</v>
      </c>
      <c r="C293" s="2" t="s">
        <v>2307</v>
      </c>
      <c r="D293" s="2" t="s">
        <v>3</v>
      </c>
      <c r="E293" s="5" t="s">
        <v>411</v>
      </c>
      <c r="F293" s="2">
        <v>261</v>
      </c>
    </row>
    <row r="294" spans="1:6" x14ac:dyDescent="0.2">
      <c r="A294" s="6" t="s">
        <v>24</v>
      </c>
      <c r="B294" s="4">
        <v>19</v>
      </c>
      <c r="C294" s="2" t="s">
        <v>2309</v>
      </c>
      <c r="D294" s="2" t="s">
        <v>2</v>
      </c>
      <c r="E294" s="5" t="s">
        <v>412</v>
      </c>
      <c r="F294" s="2">
        <v>250</v>
      </c>
    </row>
    <row r="295" spans="1:6" x14ac:dyDescent="0.2">
      <c r="A295" s="6" t="s">
        <v>301</v>
      </c>
      <c r="B295" s="4">
        <v>297</v>
      </c>
      <c r="C295" s="2" t="s">
        <v>2307</v>
      </c>
      <c r="D295" s="2" t="s">
        <v>2</v>
      </c>
      <c r="E295" s="5" t="s">
        <v>412</v>
      </c>
      <c r="F295" s="2">
        <v>154</v>
      </c>
    </row>
    <row r="296" spans="1:6" x14ac:dyDescent="0.2">
      <c r="A296" s="6" t="s">
        <v>84</v>
      </c>
      <c r="B296" s="4">
        <v>79</v>
      </c>
      <c r="C296" s="2" t="s">
        <v>2309</v>
      </c>
      <c r="D296" s="2" t="s">
        <v>5</v>
      </c>
      <c r="E296" s="5" t="s">
        <v>408</v>
      </c>
      <c r="F296" s="2">
        <v>149</v>
      </c>
    </row>
    <row r="297" spans="1:6" x14ac:dyDescent="0.2">
      <c r="A297" s="6" t="s">
        <v>126</v>
      </c>
      <c r="B297" s="4">
        <v>121</v>
      </c>
      <c r="C297" s="2" t="s">
        <v>2310</v>
      </c>
      <c r="D297" s="2" t="s">
        <v>3</v>
      </c>
      <c r="E297" s="6" t="s">
        <v>408</v>
      </c>
      <c r="F297" s="2">
        <v>197</v>
      </c>
    </row>
    <row r="298" spans="1:6" x14ac:dyDescent="0.2">
      <c r="A298" s="6" t="s">
        <v>39</v>
      </c>
      <c r="B298" s="4">
        <v>34</v>
      </c>
      <c r="C298" s="2" t="s">
        <v>2309</v>
      </c>
      <c r="D298" s="2" t="s">
        <v>3</v>
      </c>
      <c r="E298" s="5" t="s">
        <v>410</v>
      </c>
      <c r="F298" s="2">
        <v>243</v>
      </c>
    </row>
    <row r="299" spans="1:6" x14ac:dyDescent="0.2">
      <c r="A299" s="6" t="s">
        <v>113</v>
      </c>
      <c r="B299" s="4">
        <v>108</v>
      </c>
      <c r="C299" s="2" t="s">
        <v>2310</v>
      </c>
      <c r="D299" s="2" t="s">
        <v>2</v>
      </c>
      <c r="E299" s="5" t="s">
        <v>408</v>
      </c>
      <c r="F299" s="2">
        <v>163</v>
      </c>
    </row>
    <row r="300" spans="1:6" x14ac:dyDescent="0.2">
      <c r="A300" s="6" t="s">
        <v>52</v>
      </c>
      <c r="B300" s="4">
        <v>47</v>
      </c>
      <c r="C300" s="2" t="s">
        <v>2309</v>
      </c>
      <c r="D300" s="2" t="s">
        <v>3</v>
      </c>
      <c r="E300" s="5" t="s">
        <v>410</v>
      </c>
      <c r="F300" s="2">
        <v>140</v>
      </c>
    </row>
    <row r="301" spans="1:6" x14ac:dyDescent="0.2">
      <c r="A301" s="6" t="s">
        <v>62</v>
      </c>
      <c r="B301" s="4">
        <v>57</v>
      </c>
      <c r="C301" s="2" t="s">
        <v>2309</v>
      </c>
      <c r="D301" s="2" t="s">
        <v>4</v>
      </c>
      <c r="E301" s="5" t="s">
        <v>410</v>
      </c>
      <c r="F301" s="2">
        <v>149</v>
      </c>
    </row>
    <row r="302" spans="1:6" x14ac:dyDescent="0.2">
      <c r="A302" s="6" t="s">
        <v>220</v>
      </c>
      <c r="B302" s="4">
        <v>216</v>
      </c>
      <c r="C302" s="2" t="s">
        <v>2308</v>
      </c>
      <c r="D302" s="2" t="s">
        <v>3</v>
      </c>
      <c r="E302" s="5" t="s">
        <v>412</v>
      </c>
      <c r="F302" s="2">
        <v>162</v>
      </c>
    </row>
    <row r="303" spans="1:6" x14ac:dyDescent="0.2">
      <c r="A303" s="6" t="s">
        <v>37</v>
      </c>
      <c r="B303" s="4">
        <v>32</v>
      </c>
      <c r="C303" s="2" t="s">
        <v>2309</v>
      </c>
      <c r="D303" s="2" t="s">
        <v>3</v>
      </c>
      <c r="E303" s="5" t="s">
        <v>410</v>
      </c>
      <c r="F303" s="2">
        <v>161</v>
      </c>
    </row>
    <row r="304" spans="1:6" x14ac:dyDescent="0.2">
      <c r="A304" s="6" t="s">
        <v>285</v>
      </c>
      <c r="B304" s="4">
        <v>281</v>
      </c>
      <c r="C304" s="2" t="s">
        <v>2308</v>
      </c>
      <c r="D304" s="2" t="s">
        <v>5</v>
      </c>
      <c r="E304" s="5" t="s">
        <v>409</v>
      </c>
      <c r="F304" s="2">
        <v>163</v>
      </c>
    </row>
    <row r="305" spans="1:6" x14ac:dyDescent="0.2">
      <c r="A305" s="6" t="s">
        <v>267</v>
      </c>
      <c r="B305" s="4">
        <v>263</v>
      </c>
      <c r="C305" s="2" t="s">
        <v>2308</v>
      </c>
      <c r="D305" s="2" t="s">
        <v>4</v>
      </c>
      <c r="E305" s="6" t="s">
        <v>408</v>
      </c>
      <c r="F305" s="2">
        <v>185</v>
      </c>
    </row>
    <row r="306" spans="1:6" x14ac:dyDescent="0.2">
      <c r="A306" s="6" t="s">
        <v>208</v>
      </c>
      <c r="B306" s="4">
        <v>204</v>
      </c>
      <c r="C306" s="2" t="s">
        <v>2308</v>
      </c>
      <c r="D306" s="2" t="s">
        <v>2</v>
      </c>
      <c r="E306" s="6" t="s">
        <v>408</v>
      </c>
      <c r="F306" s="2">
        <v>157</v>
      </c>
    </row>
    <row r="307" spans="1:6" x14ac:dyDescent="0.2">
      <c r="A307" s="6" t="s">
        <v>117</v>
      </c>
      <c r="B307" s="4">
        <v>112</v>
      </c>
      <c r="C307" s="2" t="s">
        <v>2310</v>
      </c>
      <c r="D307" s="2" t="s">
        <v>2</v>
      </c>
      <c r="E307" s="5" t="s">
        <v>409</v>
      </c>
      <c r="F307" s="2">
        <v>286</v>
      </c>
    </row>
    <row r="308" spans="1:6" x14ac:dyDescent="0.2">
      <c r="A308" s="6" t="s">
        <v>67</v>
      </c>
      <c r="B308" s="4">
        <v>62</v>
      </c>
      <c r="C308" s="2" t="s">
        <v>2309</v>
      </c>
      <c r="D308" s="2" t="s">
        <v>4</v>
      </c>
      <c r="E308" s="5" t="s">
        <v>408</v>
      </c>
      <c r="F308" s="2">
        <v>294</v>
      </c>
    </row>
    <row r="309" spans="1:6" x14ac:dyDescent="0.2">
      <c r="A309" s="6" t="s">
        <v>342</v>
      </c>
      <c r="B309" s="4">
        <v>338</v>
      </c>
      <c r="C309" s="2" t="s">
        <v>2307</v>
      </c>
      <c r="D309" s="2" t="s">
        <v>3</v>
      </c>
      <c r="E309" s="5" t="s">
        <v>409</v>
      </c>
      <c r="F309" s="2">
        <v>273</v>
      </c>
    </row>
    <row r="310" spans="1:6" x14ac:dyDescent="0.2">
      <c r="A310" s="6" t="s">
        <v>49</v>
      </c>
      <c r="B310" s="4">
        <v>44</v>
      </c>
      <c r="C310" s="2" t="s">
        <v>2309</v>
      </c>
      <c r="D310" s="2" t="s">
        <v>3</v>
      </c>
      <c r="E310" s="5" t="s">
        <v>411</v>
      </c>
      <c r="F310" s="2">
        <v>269</v>
      </c>
    </row>
    <row r="311" spans="1:6" x14ac:dyDescent="0.2">
      <c r="A311" s="6" t="s">
        <v>132</v>
      </c>
      <c r="B311" s="4">
        <v>127</v>
      </c>
      <c r="C311" s="2" t="s">
        <v>2310</v>
      </c>
      <c r="D311" s="2" t="s">
        <v>3</v>
      </c>
      <c r="E311" s="7" t="s">
        <v>410</v>
      </c>
      <c r="F311" s="2">
        <v>129</v>
      </c>
    </row>
    <row r="312" spans="1:6" x14ac:dyDescent="0.2">
      <c r="A312" s="6" t="s">
        <v>51</v>
      </c>
      <c r="B312" s="4">
        <v>46</v>
      </c>
      <c r="C312" s="2" t="s">
        <v>2309</v>
      </c>
      <c r="D312" s="2" t="s">
        <v>3</v>
      </c>
      <c r="E312" s="5" t="s">
        <v>410</v>
      </c>
      <c r="F312" s="2">
        <v>122</v>
      </c>
    </row>
    <row r="313" spans="1:6" x14ac:dyDescent="0.2">
      <c r="A313" s="6" t="s">
        <v>129</v>
      </c>
      <c r="B313" s="4">
        <v>124</v>
      </c>
      <c r="C313" s="2" t="s">
        <v>2310</v>
      </c>
      <c r="D313" s="2" t="s">
        <v>3</v>
      </c>
      <c r="E313" s="7" t="s">
        <v>410</v>
      </c>
      <c r="F313" s="2">
        <v>268</v>
      </c>
    </row>
    <row r="314" spans="1:6" x14ac:dyDescent="0.2">
      <c r="A314" s="6" t="s">
        <v>402</v>
      </c>
      <c r="B314" s="4">
        <v>398</v>
      </c>
      <c r="C314" s="2" t="s">
        <v>2307</v>
      </c>
      <c r="D314" s="2" t="s">
        <v>5</v>
      </c>
      <c r="E314" s="5" t="s">
        <v>411</v>
      </c>
      <c r="F314" s="2">
        <v>125</v>
      </c>
    </row>
    <row r="315" spans="1:6" x14ac:dyDescent="0.2">
      <c r="A315" s="6" t="s">
        <v>240</v>
      </c>
      <c r="B315" s="4">
        <v>236</v>
      </c>
      <c r="C315" s="2" t="s">
        <v>2308</v>
      </c>
      <c r="D315" s="2" t="s">
        <v>3</v>
      </c>
      <c r="E315" s="7" t="s">
        <v>410</v>
      </c>
      <c r="F315" s="2">
        <v>258</v>
      </c>
    </row>
    <row r="316" spans="1:6" x14ac:dyDescent="0.2">
      <c r="A316" s="6" t="s">
        <v>232</v>
      </c>
      <c r="B316" s="4">
        <v>228</v>
      </c>
      <c r="C316" s="2" t="s">
        <v>2308</v>
      </c>
      <c r="D316" s="2" t="s">
        <v>3</v>
      </c>
      <c r="E316" s="7" t="s">
        <v>409</v>
      </c>
      <c r="F316" s="2">
        <v>206</v>
      </c>
    </row>
    <row r="317" spans="1:6" x14ac:dyDescent="0.2">
      <c r="A317" s="6" t="s">
        <v>391</v>
      </c>
      <c r="B317" s="4">
        <v>387</v>
      </c>
      <c r="C317" s="2" t="s">
        <v>2307</v>
      </c>
      <c r="D317" s="2" t="s">
        <v>5</v>
      </c>
      <c r="E317" s="5" t="s">
        <v>409</v>
      </c>
      <c r="F317" s="2">
        <v>142</v>
      </c>
    </row>
    <row r="318" spans="1:6" x14ac:dyDescent="0.2">
      <c r="A318" s="6" t="s">
        <v>134</v>
      </c>
      <c r="B318" s="4">
        <v>129</v>
      </c>
      <c r="C318" s="2" t="s">
        <v>2310</v>
      </c>
      <c r="D318" s="2" t="s">
        <v>3</v>
      </c>
      <c r="E318" s="7" t="s">
        <v>409</v>
      </c>
      <c r="F318" s="2">
        <v>288</v>
      </c>
    </row>
    <row r="319" spans="1:6" x14ac:dyDescent="0.2">
      <c r="A319" s="6" t="s">
        <v>193</v>
      </c>
      <c r="B319" s="4">
        <v>189</v>
      </c>
      <c r="C319" s="2" t="s">
        <v>2310</v>
      </c>
      <c r="D319" s="2" t="s">
        <v>5</v>
      </c>
      <c r="E319" s="6" t="s">
        <v>408</v>
      </c>
      <c r="F319" s="2">
        <v>292</v>
      </c>
    </row>
    <row r="320" spans="1:6" x14ac:dyDescent="0.2">
      <c r="A320" s="6" t="s">
        <v>15</v>
      </c>
      <c r="B320" s="4">
        <v>10</v>
      </c>
      <c r="C320" s="2" t="s">
        <v>2309</v>
      </c>
      <c r="D320" s="2" t="s">
        <v>2</v>
      </c>
      <c r="E320" s="5" t="s">
        <v>411</v>
      </c>
      <c r="F320" s="2">
        <v>223</v>
      </c>
    </row>
    <row r="321" spans="1:6" x14ac:dyDescent="0.2">
      <c r="A321" s="6" t="s">
        <v>405</v>
      </c>
      <c r="B321" s="4">
        <v>401</v>
      </c>
      <c r="C321" s="2" t="s">
        <v>2307</v>
      </c>
      <c r="D321" s="2" t="s">
        <v>5</v>
      </c>
      <c r="E321" s="5" t="s">
        <v>412</v>
      </c>
      <c r="F321" s="2">
        <v>155</v>
      </c>
    </row>
    <row r="322" spans="1:6" x14ac:dyDescent="0.2">
      <c r="A322" s="6" t="s">
        <v>34</v>
      </c>
      <c r="B322" s="4">
        <v>29</v>
      </c>
      <c r="C322" s="2" t="s">
        <v>2309</v>
      </c>
      <c r="D322" s="2" t="s">
        <v>3</v>
      </c>
      <c r="E322" s="5" t="s">
        <v>411</v>
      </c>
      <c r="F322" s="2">
        <v>149</v>
      </c>
    </row>
    <row r="323" spans="1:6" x14ac:dyDescent="0.2">
      <c r="A323" s="6" t="s">
        <v>277</v>
      </c>
      <c r="B323" s="4">
        <v>273</v>
      </c>
      <c r="C323" s="2" t="s">
        <v>2308</v>
      </c>
      <c r="D323" s="2" t="s">
        <v>5</v>
      </c>
      <c r="E323" s="5" t="s">
        <v>412</v>
      </c>
      <c r="F323" s="2">
        <v>264</v>
      </c>
    </row>
    <row r="324" spans="1:6" x14ac:dyDescent="0.2">
      <c r="A324" s="6" t="s">
        <v>155</v>
      </c>
      <c r="B324" s="4">
        <v>150</v>
      </c>
      <c r="C324" s="2" t="s">
        <v>2310</v>
      </c>
      <c r="D324" s="2" t="s">
        <v>4</v>
      </c>
      <c r="E324" s="5" t="s">
        <v>411</v>
      </c>
      <c r="F324" s="2">
        <v>179</v>
      </c>
    </row>
    <row r="325" spans="1:6" x14ac:dyDescent="0.2">
      <c r="A325" s="6" t="s">
        <v>296</v>
      </c>
      <c r="B325" s="4">
        <v>292</v>
      </c>
      <c r="C325" s="2" t="s">
        <v>2308</v>
      </c>
      <c r="D325" s="2" t="s">
        <v>5</v>
      </c>
      <c r="E325" s="5" t="s">
        <v>412</v>
      </c>
      <c r="F325" s="2">
        <v>211</v>
      </c>
    </row>
    <row r="326" spans="1:6" x14ac:dyDescent="0.2">
      <c r="A326" s="6" t="s">
        <v>216</v>
      </c>
      <c r="B326" s="4">
        <v>212</v>
      </c>
      <c r="C326" s="2" t="s">
        <v>2308</v>
      </c>
      <c r="D326" s="2" t="s">
        <v>2</v>
      </c>
      <c r="E326" s="5" t="s">
        <v>411</v>
      </c>
      <c r="F326" s="2">
        <v>144</v>
      </c>
    </row>
    <row r="327" spans="1:6" x14ac:dyDescent="0.2">
      <c r="A327" s="6" t="s">
        <v>376</v>
      </c>
      <c r="B327" s="4">
        <v>372</v>
      </c>
      <c r="C327" s="2" t="s">
        <v>2307</v>
      </c>
      <c r="D327" s="2" t="s">
        <v>4</v>
      </c>
      <c r="E327" s="5" t="s">
        <v>408</v>
      </c>
      <c r="F327" s="2">
        <v>230</v>
      </c>
    </row>
    <row r="328" spans="1:6" x14ac:dyDescent="0.2">
      <c r="A328" s="6" t="s">
        <v>79</v>
      </c>
      <c r="B328" s="4">
        <v>74</v>
      </c>
      <c r="C328" s="2" t="s">
        <v>2309</v>
      </c>
      <c r="D328" s="2" t="s">
        <v>5</v>
      </c>
      <c r="E328" s="5" t="s">
        <v>408</v>
      </c>
      <c r="F328" s="2">
        <v>193</v>
      </c>
    </row>
    <row r="329" spans="1:6" x14ac:dyDescent="0.2">
      <c r="A329" s="6" t="s">
        <v>348</v>
      </c>
      <c r="B329" s="4">
        <v>344</v>
      </c>
      <c r="C329" s="2" t="s">
        <v>2307</v>
      </c>
      <c r="D329" s="2" t="s">
        <v>3</v>
      </c>
      <c r="E329" s="5" t="s">
        <v>411</v>
      </c>
      <c r="F329" s="2">
        <v>205</v>
      </c>
    </row>
    <row r="330" spans="1:6" x14ac:dyDescent="0.2">
      <c r="A330" s="6" t="s">
        <v>228</v>
      </c>
      <c r="B330" s="4">
        <v>224</v>
      </c>
      <c r="C330" s="2" t="s">
        <v>2308</v>
      </c>
      <c r="D330" s="2" t="s">
        <v>3</v>
      </c>
      <c r="E330" s="7" t="s">
        <v>410</v>
      </c>
      <c r="F330" s="2">
        <v>235</v>
      </c>
    </row>
    <row r="331" spans="1:6" x14ac:dyDescent="0.2">
      <c r="A331" s="6" t="s">
        <v>383</v>
      </c>
      <c r="B331" s="4">
        <v>379</v>
      </c>
      <c r="C331" s="2" t="s">
        <v>2307</v>
      </c>
      <c r="D331" s="2" t="s">
        <v>5</v>
      </c>
      <c r="E331" s="5" t="s">
        <v>412</v>
      </c>
      <c r="F331" s="2">
        <v>132</v>
      </c>
    </row>
    <row r="332" spans="1:6" x14ac:dyDescent="0.2">
      <c r="A332" s="6" t="s">
        <v>279</v>
      </c>
      <c r="B332" s="4">
        <v>275</v>
      </c>
      <c r="C332" s="2" t="s">
        <v>2308</v>
      </c>
      <c r="D332" s="2" t="s">
        <v>5</v>
      </c>
      <c r="E332" s="6" t="s">
        <v>408</v>
      </c>
      <c r="F332" s="2">
        <v>236</v>
      </c>
    </row>
    <row r="333" spans="1:6" x14ac:dyDescent="0.2">
      <c r="A333" s="6" t="s">
        <v>47</v>
      </c>
      <c r="B333" s="4">
        <v>42</v>
      </c>
      <c r="C333" s="2" t="s">
        <v>2309</v>
      </c>
      <c r="D333" s="2" t="s">
        <v>3</v>
      </c>
      <c r="E333" s="5" t="s">
        <v>408</v>
      </c>
      <c r="F333" s="2">
        <v>249</v>
      </c>
    </row>
    <row r="334" spans="1:6" x14ac:dyDescent="0.2">
      <c r="A334" s="6" t="s">
        <v>305</v>
      </c>
      <c r="B334" s="4">
        <v>301</v>
      </c>
      <c r="C334" s="2" t="s">
        <v>2307</v>
      </c>
      <c r="D334" s="2" t="s">
        <v>2</v>
      </c>
      <c r="E334" s="5" t="s">
        <v>412</v>
      </c>
      <c r="F334" s="2">
        <v>152</v>
      </c>
    </row>
    <row r="335" spans="1:6" x14ac:dyDescent="0.2">
      <c r="A335" s="6" t="s">
        <v>194</v>
      </c>
      <c r="B335" s="4">
        <v>190</v>
      </c>
      <c r="C335" s="2" t="s">
        <v>2310</v>
      </c>
      <c r="D335" s="2" t="s">
        <v>5</v>
      </c>
      <c r="E335" s="5" t="s">
        <v>411</v>
      </c>
      <c r="F335" s="2">
        <v>220</v>
      </c>
    </row>
    <row r="336" spans="1:6" x14ac:dyDescent="0.2">
      <c r="A336" s="6" t="s">
        <v>104</v>
      </c>
      <c r="B336" s="4">
        <v>99</v>
      </c>
      <c r="C336" s="2" t="s">
        <v>2310</v>
      </c>
      <c r="D336" s="2" t="s">
        <v>2</v>
      </c>
      <c r="E336" s="5" t="s">
        <v>411</v>
      </c>
      <c r="F336" s="2">
        <v>155</v>
      </c>
    </row>
    <row r="337" spans="1:6" x14ac:dyDescent="0.2">
      <c r="A337" s="6" t="s">
        <v>347</v>
      </c>
      <c r="B337" s="4">
        <v>343</v>
      </c>
      <c r="C337" s="2" t="s">
        <v>2307</v>
      </c>
      <c r="D337" s="2" t="s">
        <v>3</v>
      </c>
      <c r="E337" s="5" t="s">
        <v>409</v>
      </c>
      <c r="F337" s="2">
        <v>205</v>
      </c>
    </row>
    <row r="338" spans="1:6" x14ac:dyDescent="0.2">
      <c r="A338" s="6" t="s">
        <v>292</v>
      </c>
      <c r="B338" s="4">
        <v>288</v>
      </c>
      <c r="C338" s="2" t="s">
        <v>2308</v>
      </c>
      <c r="D338" s="2" t="s">
        <v>5</v>
      </c>
      <c r="E338" s="5" t="s">
        <v>412</v>
      </c>
      <c r="F338" s="2">
        <v>298</v>
      </c>
    </row>
    <row r="339" spans="1:6" x14ac:dyDescent="0.2">
      <c r="A339" s="6" t="s">
        <v>18</v>
      </c>
      <c r="B339" s="4">
        <v>13</v>
      </c>
      <c r="C339" s="2" t="s">
        <v>2309</v>
      </c>
      <c r="D339" s="2" t="s">
        <v>2</v>
      </c>
      <c r="E339" s="5" t="s">
        <v>408</v>
      </c>
      <c r="F339" s="2">
        <v>285</v>
      </c>
    </row>
    <row r="340" spans="1:6" x14ac:dyDescent="0.2">
      <c r="A340" s="6" t="s">
        <v>366</v>
      </c>
      <c r="B340" s="4">
        <v>362</v>
      </c>
      <c r="C340" s="2" t="s">
        <v>2307</v>
      </c>
      <c r="D340" s="2" t="s">
        <v>4</v>
      </c>
      <c r="E340" s="5" t="s">
        <v>410</v>
      </c>
      <c r="F340" s="2">
        <v>265</v>
      </c>
    </row>
    <row r="341" spans="1:6" x14ac:dyDescent="0.2">
      <c r="A341" s="6" t="s">
        <v>29</v>
      </c>
      <c r="B341" s="4">
        <v>188</v>
      </c>
      <c r="C341" s="2" t="s">
        <v>2310</v>
      </c>
      <c r="D341" s="2" t="s">
        <v>5</v>
      </c>
      <c r="E341" s="7" t="s">
        <v>410</v>
      </c>
      <c r="F341" s="2">
        <v>164</v>
      </c>
    </row>
    <row r="342" spans="1:6" x14ac:dyDescent="0.2">
      <c r="A342" s="6" t="s">
        <v>349</v>
      </c>
      <c r="B342" s="4">
        <v>345</v>
      </c>
      <c r="C342" s="2" t="s">
        <v>2307</v>
      </c>
      <c r="D342" s="2" t="s">
        <v>3</v>
      </c>
      <c r="E342" s="5" t="s">
        <v>412</v>
      </c>
      <c r="F342" s="2">
        <v>262</v>
      </c>
    </row>
    <row r="343" spans="1:6" x14ac:dyDescent="0.2">
      <c r="A343" s="6" t="s">
        <v>384</v>
      </c>
      <c r="B343" s="4">
        <v>380</v>
      </c>
      <c r="C343" s="2" t="s">
        <v>2307</v>
      </c>
      <c r="D343" s="2" t="s">
        <v>5</v>
      </c>
      <c r="E343" s="5" t="s">
        <v>409</v>
      </c>
      <c r="F343" s="2">
        <v>278</v>
      </c>
    </row>
    <row r="344" spans="1:6" x14ac:dyDescent="0.2">
      <c r="A344" s="6" t="s">
        <v>253</v>
      </c>
      <c r="B344" s="4">
        <v>249</v>
      </c>
      <c r="C344" s="2" t="s">
        <v>2308</v>
      </c>
      <c r="D344" s="2" t="s">
        <v>4</v>
      </c>
      <c r="E344" s="7" t="s">
        <v>409</v>
      </c>
      <c r="F344" s="2">
        <v>214</v>
      </c>
    </row>
    <row r="345" spans="1:6" x14ac:dyDescent="0.2">
      <c r="A345" s="6" t="s">
        <v>68</v>
      </c>
      <c r="B345" s="4">
        <v>63</v>
      </c>
      <c r="C345" s="2" t="s">
        <v>2309</v>
      </c>
      <c r="D345" s="2" t="s">
        <v>4</v>
      </c>
      <c r="E345" s="5" t="s">
        <v>409</v>
      </c>
      <c r="F345" s="2">
        <v>126</v>
      </c>
    </row>
    <row r="346" spans="1:6" x14ac:dyDescent="0.2">
      <c r="A346" s="6" t="s">
        <v>49</v>
      </c>
      <c r="B346" s="4">
        <v>44</v>
      </c>
      <c r="C346" s="2" t="s">
        <v>2309</v>
      </c>
      <c r="D346" s="2" t="s">
        <v>3</v>
      </c>
      <c r="E346" s="5" t="s">
        <v>412</v>
      </c>
      <c r="F346" s="2">
        <v>190</v>
      </c>
    </row>
    <row r="347" spans="1:6" x14ac:dyDescent="0.2">
      <c r="A347" s="6" t="s">
        <v>258</v>
      </c>
      <c r="B347" s="4">
        <v>254</v>
      </c>
      <c r="C347" s="2" t="s">
        <v>2308</v>
      </c>
      <c r="D347" s="2" t="s">
        <v>4</v>
      </c>
      <c r="E347" s="5" t="s">
        <v>410</v>
      </c>
      <c r="F347" s="2">
        <v>131</v>
      </c>
    </row>
    <row r="348" spans="1:6" x14ac:dyDescent="0.2">
      <c r="A348" s="6" t="s">
        <v>63</v>
      </c>
      <c r="B348" s="4">
        <v>58</v>
      </c>
      <c r="C348" s="2" t="s">
        <v>2309</v>
      </c>
      <c r="D348" s="2" t="s">
        <v>4</v>
      </c>
      <c r="E348" s="5" t="s">
        <v>409</v>
      </c>
      <c r="F348" s="2">
        <v>190</v>
      </c>
    </row>
    <row r="349" spans="1:6" x14ac:dyDescent="0.2">
      <c r="A349" s="6" t="s">
        <v>165</v>
      </c>
      <c r="B349" s="4">
        <v>160</v>
      </c>
      <c r="C349" s="2" t="s">
        <v>2310</v>
      </c>
      <c r="D349" s="2" t="s">
        <v>4</v>
      </c>
      <c r="E349" s="6" t="s">
        <v>408</v>
      </c>
      <c r="F349" s="2">
        <v>243</v>
      </c>
    </row>
    <row r="350" spans="1:6" x14ac:dyDescent="0.2">
      <c r="A350" s="6" t="s">
        <v>243</v>
      </c>
      <c r="B350" s="4">
        <v>239</v>
      </c>
      <c r="C350" s="2" t="s">
        <v>2308</v>
      </c>
      <c r="D350" s="2" t="s">
        <v>3</v>
      </c>
      <c r="E350" s="6" t="s">
        <v>408</v>
      </c>
      <c r="F350" s="2">
        <v>227</v>
      </c>
    </row>
    <row r="351" spans="1:6" x14ac:dyDescent="0.2">
      <c r="A351" s="6" t="s">
        <v>308</v>
      </c>
      <c r="B351" s="4">
        <v>304</v>
      </c>
      <c r="C351" s="2" t="s">
        <v>2307</v>
      </c>
      <c r="D351" s="2" t="s">
        <v>2</v>
      </c>
      <c r="E351" s="5" t="s">
        <v>409</v>
      </c>
      <c r="F351" s="2">
        <v>259</v>
      </c>
    </row>
    <row r="352" spans="1:6" x14ac:dyDescent="0.2">
      <c r="A352" s="6" t="s">
        <v>261</v>
      </c>
      <c r="B352" s="4">
        <v>257</v>
      </c>
      <c r="C352" s="2" t="s">
        <v>2308</v>
      </c>
      <c r="D352" s="2" t="s">
        <v>4</v>
      </c>
      <c r="E352" s="5" t="s">
        <v>410</v>
      </c>
      <c r="F352" s="2">
        <v>237</v>
      </c>
    </row>
    <row r="353" spans="1:6" x14ac:dyDescent="0.2">
      <c r="A353" s="6" t="s">
        <v>403</v>
      </c>
      <c r="B353" s="4">
        <v>399</v>
      </c>
      <c r="C353" s="2" t="s">
        <v>2307</v>
      </c>
      <c r="D353" s="2" t="s">
        <v>5</v>
      </c>
      <c r="E353" s="5" t="s">
        <v>412</v>
      </c>
      <c r="F353" s="2">
        <v>148</v>
      </c>
    </row>
    <row r="354" spans="1:6" x14ac:dyDescent="0.2">
      <c r="A354" s="6" t="s">
        <v>225</v>
      </c>
      <c r="B354" s="4">
        <v>221</v>
      </c>
      <c r="C354" s="2" t="s">
        <v>2308</v>
      </c>
      <c r="D354" s="2" t="s">
        <v>3</v>
      </c>
      <c r="E354" s="6" t="s">
        <v>408</v>
      </c>
      <c r="F354" s="2">
        <v>129</v>
      </c>
    </row>
    <row r="355" spans="1:6" x14ac:dyDescent="0.2">
      <c r="A355" s="6" t="s">
        <v>218</v>
      </c>
      <c r="B355" s="4">
        <v>214</v>
      </c>
      <c r="C355" s="2" t="s">
        <v>2308</v>
      </c>
      <c r="D355" s="2" t="s">
        <v>2</v>
      </c>
      <c r="E355" s="5" t="s">
        <v>412</v>
      </c>
      <c r="F355" s="2">
        <v>260</v>
      </c>
    </row>
    <row r="356" spans="1:6" x14ac:dyDescent="0.2">
      <c r="A356" s="6" t="s">
        <v>342</v>
      </c>
      <c r="B356" s="4">
        <v>338</v>
      </c>
      <c r="C356" s="2" t="s">
        <v>2307</v>
      </c>
      <c r="D356" s="2" t="s">
        <v>3</v>
      </c>
      <c r="E356" s="5" t="s">
        <v>410</v>
      </c>
      <c r="F356" s="2">
        <v>274</v>
      </c>
    </row>
    <row r="357" spans="1:6" x14ac:dyDescent="0.2">
      <c r="A357" s="6" t="s">
        <v>312</v>
      </c>
      <c r="B357" s="4">
        <v>308</v>
      </c>
      <c r="C357" s="2" t="s">
        <v>2307</v>
      </c>
      <c r="D357" s="2" t="s">
        <v>2</v>
      </c>
      <c r="E357" s="5" t="s">
        <v>409</v>
      </c>
      <c r="F357" s="2">
        <v>171</v>
      </c>
    </row>
    <row r="358" spans="1:6" x14ac:dyDescent="0.2">
      <c r="A358" s="6" t="s">
        <v>290</v>
      </c>
      <c r="B358" s="4">
        <v>286</v>
      </c>
      <c r="C358" s="2" t="s">
        <v>2308</v>
      </c>
      <c r="D358" s="2" t="s">
        <v>5</v>
      </c>
      <c r="E358" s="6" t="s">
        <v>408</v>
      </c>
      <c r="F358" s="2">
        <v>280</v>
      </c>
    </row>
    <row r="359" spans="1:6" x14ac:dyDescent="0.2">
      <c r="A359" s="6" t="s">
        <v>274</v>
      </c>
      <c r="B359" s="4">
        <v>270</v>
      </c>
      <c r="C359" s="2" t="s">
        <v>2308</v>
      </c>
      <c r="D359" s="2" t="s">
        <v>4</v>
      </c>
      <c r="E359" s="7" t="s">
        <v>409</v>
      </c>
      <c r="F359" s="2">
        <v>276</v>
      </c>
    </row>
    <row r="360" spans="1:6" x14ac:dyDescent="0.2">
      <c r="A360" s="6" t="s">
        <v>245</v>
      </c>
      <c r="B360" s="4">
        <v>241</v>
      </c>
      <c r="C360" s="2" t="s">
        <v>2308</v>
      </c>
      <c r="D360" s="2" t="s">
        <v>3</v>
      </c>
      <c r="E360" s="7" t="s">
        <v>409</v>
      </c>
      <c r="F360" s="2">
        <v>133</v>
      </c>
    </row>
    <row r="361" spans="1:6" x14ac:dyDescent="0.2">
      <c r="A361" s="6" t="s">
        <v>313</v>
      </c>
      <c r="B361" s="4">
        <v>309</v>
      </c>
      <c r="C361" s="2" t="s">
        <v>2307</v>
      </c>
      <c r="D361" s="2" t="s">
        <v>2</v>
      </c>
      <c r="E361" s="5" t="s">
        <v>410</v>
      </c>
      <c r="F361" s="2">
        <v>262</v>
      </c>
    </row>
    <row r="362" spans="1:6" x14ac:dyDescent="0.2">
      <c r="A362" s="6" t="s">
        <v>200</v>
      </c>
      <c r="B362" s="4">
        <v>196</v>
      </c>
      <c r="C362" s="2" t="s">
        <v>2308</v>
      </c>
      <c r="D362" s="2" t="s">
        <v>2</v>
      </c>
      <c r="E362" s="5" t="s">
        <v>409</v>
      </c>
      <c r="F362" s="2">
        <v>227</v>
      </c>
    </row>
    <row r="363" spans="1:6" x14ac:dyDescent="0.2">
      <c r="A363" s="6" t="s">
        <v>334</v>
      </c>
      <c r="B363" s="4">
        <v>330</v>
      </c>
      <c r="C363" s="2" t="s">
        <v>2307</v>
      </c>
      <c r="D363" s="2" t="s">
        <v>3</v>
      </c>
      <c r="E363" s="5" t="s">
        <v>408</v>
      </c>
      <c r="F363" s="2">
        <v>135</v>
      </c>
    </row>
    <row r="364" spans="1:6" x14ac:dyDescent="0.2">
      <c r="A364" s="6" t="s">
        <v>197</v>
      </c>
      <c r="B364" s="4">
        <v>193</v>
      </c>
      <c r="C364" s="2" t="s">
        <v>2308</v>
      </c>
      <c r="D364" s="2" t="s">
        <v>2</v>
      </c>
      <c r="E364" s="6" t="s">
        <v>408</v>
      </c>
      <c r="F364" s="2">
        <v>213</v>
      </c>
    </row>
    <row r="365" spans="1:6" x14ac:dyDescent="0.2">
      <c r="A365" s="6" t="s">
        <v>71</v>
      </c>
      <c r="B365" s="4">
        <v>66</v>
      </c>
      <c r="C365" s="2" t="s">
        <v>2309</v>
      </c>
      <c r="D365" s="2" t="s">
        <v>4</v>
      </c>
      <c r="E365" s="5" t="s">
        <v>409</v>
      </c>
      <c r="F365" s="2">
        <v>154</v>
      </c>
    </row>
    <row r="366" spans="1:6" x14ac:dyDescent="0.2">
      <c r="A366" s="6" t="s">
        <v>47</v>
      </c>
      <c r="B366" s="4">
        <v>42</v>
      </c>
      <c r="C366" s="2" t="s">
        <v>2309</v>
      </c>
      <c r="D366" s="2" t="s">
        <v>3</v>
      </c>
      <c r="E366" s="5" t="s">
        <v>409</v>
      </c>
      <c r="F366" s="2">
        <v>144</v>
      </c>
    </row>
    <row r="367" spans="1:6" x14ac:dyDescent="0.2">
      <c r="A367" s="6" t="s">
        <v>172</v>
      </c>
      <c r="B367" s="4">
        <v>167</v>
      </c>
      <c r="C367" s="2" t="s">
        <v>2310</v>
      </c>
      <c r="D367" s="2" t="s">
        <v>4</v>
      </c>
      <c r="E367" s="5" t="s">
        <v>411</v>
      </c>
      <c r="F367" s="2">
        <v>174</v>
      </c>
    </row>
    <row r="368" spans="1:6" x14ac:dyDescent="0.2">
      <c r="A368" s="6" t="s">
        <v>176</v>
      </c>
      <c r="B368" s="4">
        <v>171</v>
      </c>
      <c r="C368" s="2" t="s">
        <v>2310</v>
      </c>
      <c r="D368" s="2" t="s">
        <v>5</v>
      </c>
      <c r="E368" s="6" t="s">
        <v>408</v>
      </c>
      <c r="F368" s="2">
        <v>219</v>
      </c>
    </row>
    <row r="369" spans="1:6" x14ac:dyDescent="0.2">
      <c r="A369" s="6" t="s">
        <v>286</v>
      </c>
      <c r="B369" s="4">
        <v>282</v>
      </c>
      <c r="C369" s="2" t="s">
        <v>2308</v>
      </c>
      <c r="D369" s="2" t="s">
        <v>5</v>
      </c>
      <c r="E369" s="5" t="s">
        <v>410</v>
      </c>
      <c r="F369" s="2">
        <v>157</v>
      </c>
    </row>
    <row r="370" spans="1:6" x14ac:dyDescent="0.2">
      <c r="A370" s="6" t="s">
        <v>140</v>
      </c>
      <c r="B370" s="4">
        <v>135</v>
      </c>
      <c r="C370" s="2" t="s">
        <v>2310</v>
      </c>
      <c r="D370" s="2" t="s">
        <v>3</v>
      </c>
      <c r="E370" s="6" t="s">
        <v>408</v>
      </c>
      <c r="F370" s="2">
        <v>285</v>
      </c>
    </row>
    <row r="371" spans="1:6" x14ac:dyDescent="0.2">
      <c r="A371" s="6" t="s">
        <v>325</v>
      </c>
      <c r="B371" s="4">
        <v>321</v>
      </c>
      <c r="C371" s="2" t="s">
        <v>2307</v>
      </c>
      <c r="D371" s="2" t="s">
        <v>2</v>
      </c>
      <c r="E371" s="5" t="s">
        <v>410</v>
      </c>
      <c r="F371" s="2">
        <v>219</v>
      </c>
    </row>
    <row r="372" spans="1:6" x14ac:dyDescent="0.2">
      <c r="A372" s="6" t="s">
        <v>153</v>
      </c>
      <c r="B372" s="4">
        <v>148</v>
      </c>
      <c r="C372" s="2" t="s">
        <v>2310</v>
      </c>
      <c r="D372" s="2" t="s">
        <v>4</v>
      </c>
      <c r="E372" s="7" t="s">
        <v>409</v>
      </c>
      <c r="F372" s="2">
        <v>267</v>
      </c>
    </row>
    <row r="373" spans="1:6" x14ac:dyDescent="0.2">
      <c r="A373" s="6" t="s">
        <v>389</v>
      </c>
      <c r="B373" s="4">
        <v>385</v>
      </c>
      <c r="C373" s="2" t="s">
        <v>2307</v>
      </c>
      <c r="D373" s="2" t="s">
        <v>5</v>
      </c>
      <c r="E373" s="5" t="s">
        <v>411</v>
      </c>
      <c r="F373" s="2">
        <v>165</v>
      </c>
    </row>
    <row r="374" spans="1:6" x14ac:dyDescent="0.2">
      <c r="A374" s="6" t="s">
        <v>170</v>
      </c>
      <c r="B374" s="4">
        <v>165</v>
      </c>
      <c r="C374" s="2" t="s">
        <v>2310</v>
      </c>
      <c r="D374" s="2" t="s">
        <v>4</v>
      </c>
      <c r="E374" s="5" t="s">
        <v>411</v>
      </c>
      <c r="F374" s="2">
        <v>135</v>
      </c>
    </row>
    <row r="375" spans="1:6" x14ac:dyDescent="0.2">
      <c r="A375" s="6" t="s">
        <v>87</v>
      </c>
      <c r="B375" s="4">
        <v>82</v>
      </c>
      <c r="C375" s="2" t="s">
        <v>2309</v>
      </c>
      <c r="D375" s="2" t="s">
        <v>5</v>
      </c>
      <c r="E375" s="5" t="s">
        <v>411</v>
      </c>
      <c r="F375" s="2">
        <v>135</v>
      </c>
    </row>
    <row r="376" spans="1:6" x14ac:dyDescent="0.2">
      <c r="A376" s="6" t="s">
        <v>142</v>
      </c>
      <c r="B376" s="4">
        <v>137</v>
      </c>
      <c r="C376" s="2" t="s">
        <v>2310</v>
      </c>
      <c r="D376" s="2" t="s">
        <v>3</v>
      </c>
      <c r="E376" s="6" t="s">
        <v>408</v>
      </c>
      <c r="F376" s="2">
        <v>156</v>
      </c>
    </row>
    <row r="377" spans="1:6" x14ac:dyDescent="0.2">
      <c r="A377" s="6" t="s">
        <v>281</v>
      </c>
      <c r="B377" s="4">
        <v>277</v>
      </c>
      <c r="C377" s="2" t="s">
        <v>2308</v>
      </c>
      <c r="D377" s="2" t="s">
        <v>5</v>
      </c>
      <c r="E377" s="5" t="s">
        <v>410</v>
      </c>
      <c r="F377" s="2">
        <v>211</v>
      </c>
    </row>
    <row r="378" spans="1:6" x14ac:dyDescent="0.2">
      <c r="A378" s="6" t="s">
        <v>259</v>
      </c>
      <c r="B378" s="4">
        <v>255</v>
      </c>
      <c r="C378" s="2" t="s">
        <v>2308</v>
      </c>
      <c r="D378" s="2" t="s">
        <v>4</v>
      </c>
      <c r="E378" s="5" t="s">
        <v>410</v>
      </c>
      <c r="F378" s="2">
        <v>233</v>
      </c>
    </row>
    <row r="379" spans="1:6" x14ac:dyDescent="0.2">
      <c r="A379" s="6" t="s">
        <v>383</v>
      </c>
      <c r="B379" s="4">
        <v>379</v>
      </c>
      <c r="C379" s="2" t="s">
        <v>2307</v>
      </c>
      <c r="D379" s="2" t="s">
        <v>5</v>
      </c>
      <c r="E379" s="5" t="s">
        <v>411</v>
      </c>
      <c r="F379" s="2">
        <v>248</v>
      </c>
    </row>
    <row r="380" spans="1:6" x14ac:dyDescent="0.2">
      <c r="A380" s="6" t="s">
        <v>349</v>
      </c>
      <c r="B380" s="4">
        <v>345</v>
      </c>
      <c r="C380" s="2" t="s">
        <v>2307</v>
      </c>
      <c r="D380" s="2" t="s">
        <v>3</v>
      </c>
      <c r="E380" s="5" t="s">
        <v>411</v>
      </c>
      <c r="F380" s="2">
        <v>269</v>
      </c>
    </row>
    <row r="381" spans="1:6" x14ac:dyDescent="0.2">
      <c r="A381" s="6" t="s">
        <v>164</v>
      </c>
      <c r="B381" s="4">
        <v>159</v>
      </c>
      <c r="C381" s="2" t="s">
        <v>2310</v>
      </c>
      <c r="D381" s="2" t="s">
        <v>4</v>
      </c>
      <c r="E381" s="6" t="s">
        <v>408</v>
      </c>
      <c r="F381" s="2">
        <v>259</v>
      </c>
    </row>
    <row r="382" spans="1:6" x14ac:dyDescent="0.2">
      <c r="A382" s="6" t="s">
        <v>165</v>
      </c>
      <c r="B382" s="4">
        <v>160</v>
      </c>
      <c r="C382" s="2" t="s">
        <v>2310</v>
      </c>
      <c r="D382" s="2" t="s">
        <v>4</v>
      </c>
      <c r="E382" s="5" t="s">
        <v>412</v>
      </c>
      <c r="F382" s="2">
        <v>257</v>
      </c>
    </row>
    <row r="383" spans="1:6" x14ac:dyDescent="0.2">
      <c r="A383" s="6" t="s">
        <v>157</v>
      </c>
      <c r="B383" s="4">
        <v>152</v>
      </c>
      <c r="C383" s="2" t="s">
        <v>2310</v>
      </c>
      <c r="D383" s="2" t="s">
        <v>4</v>
      </c>
      <c r="E383" s="5" t="s">
        <v>410</v>
      </c>
      <c r="F383" s="2">
        <v>188</v>
      </c>
    </row>
    <row r="384" spans="1:6" x14ac:dyDescent="0.2">
      <c r="A384" s="6" t="s">
        <v>29</v>
      </c>
      <c r="B384" s="4">
        <v>188</v>
      </c>
      <c r="C384" s="2" t="s">
        <v>2310</v>
      </c>
      <c r="D384" s="2" t="s">
        <v>5</v>
      </c>
      <c r="E384" s="6" t="s">
        <v>408</v>
      </c>
      <c r="F384" s="2">
        <v>218</v>
      </c>
    </row>
    <row r="385" spans="1:6" x14ac:dyDescent="0.2">
      <c r="A385" s="6" t="s">
        <v>57</v>
      </c>
      <c r="B385" s="4">
        <v>52</v>
      </c>
      <c r="C385" s="2" t="s">
        <v>2309</v>
      </c>
      <c r="D385" s="2" t="s">
        <v>4</v>
      </c>
      <c r="E385" s="5" t="s">
        <v>412</v>
      </c>
      <c r="F385" s="2">
        <v>141</v>
      </c>
    </row>
    <row r="386" spans="1:6" x14ac:dyDescent="0.2">
      <c r="A386" s="6" t="s">
        <v>130</v>
      </c>
      <c r="B386" s="4">
        <v>125</v>
      </c>
      <c r="C386" s="2" t="s">
        <v>2310</v>
      </c>
      <c r="D386" s="2" t="s">
        <v>3</v>
      </c>
      <c r="E386" s="6" t="s">
        <v>408</v>
      </c>
      <c r="F386" s="2">
        <v>218</v>
      </c>
    </row>
    <row r="387" spans="1:6" x14ac:dyDescent="0.2">
      <c r="A387" s="6" t="s">
        <v>400</v>
      </c>
      <c r="B387" s="4">
        <v>396</v>
      </c>
      <c r="C387" s="2" t="s">
        <v>2307</v>
      </c>
      <c r="D387" s="2" t="s">
        <v>5</v>
      </c>
      <c r="E387" s="5" t="s">
        <v>411</v>
      </c>
      <c r="F387" s="2">
        <v>134</v>
      </c>
    </row>
    <row r="388" spans="1:6" x14ac:dyDescent="0.2">
      <c r="A388" s="6" t="s">
        <v>12</v>
      </c>
      <c r="B388" s="4">
        <v>7</v>
      </c>
      <c r="C388" s="2" t="s">
        <v>2309</v>
      </c>
      <c r="D388" s="2" t="s">
        <v>2</v>
      </c>
      <c r="E388" s="5" t="s">
        <v>411</v>
      </c>
      <c r="F388" s="2">
        <v>176</v>
      </c>
    </row>
    <row r="389" spans="1:6" x14ac:dyDescent="0.2">
      <c r="A389" s="6" t="s">
        <v>363</v>
      </c>
      <c r="B389" s="4">
        <v>359</v>
      </c>
      <c r="C389" s="2" t="s">
        <v>2307</v>
      </c>
      <c r="D389" s="2" t="s">
        <v>4</v>
      </c>
      <c r="E389" s="5" t="s">
        <v>409</v>
      </c>
      <c r="F389" s="2">
        <v>169</v>
      </c>
    </row>
    <row r="390" spans="1:6" x14ac:dyDescent="0.2">
      <c r="A390" s="6" t="s">
        <v>146</v>
      </c>
      <c r="B390" s="4">
        <v>141</v>
      </c>
      <c r="C390" s="2" t="s">
        <v>2310</v>
      </c>
      <c r="D390" s="2" t="s">
        <v>4</v>
      </c>
      <c r="E390" s="7" t="s">
        <v>409</v>
      </c>
      <c r="F390" s="2">
        <v>279</v>
      </c>
    </row>
    <row r="391" spans="1:6" x14ac:dyDescent="0.2">
      <c r="A391" s="6" t="s">
        <v>113</v>
      </c>
      <c r="B391" s="4">
        <v>108</v>
      </c>
      <c r="C391" s="2" t="s">
        <v>2310</v>
      </c>
      <c r="D391" s="2" t="s">
        <v>2</v>
      </c>
      <c r="E391" s="5" t="s">
        <v>410</v>
      </c>
      <c r="F391" s="2">
        <v>278</v>
      </c>
    </row>
    <row r="392" spans="1:6" x14ac:dyDescent="0.2">
      <c r="A392" s="6" t="s">
        <v>282</v>
      </c>
      <c r="B392" s="4">
        <v>278</v>
      </c>
      <c r="C392" s="2" t="s">
        <v>2308</v>
      </c>
      <c r="D392" s="2" t="s">
        <v>5</v>
      </c>
      <c r="E392" s="5" t="s">
        <v>409</v>
      </c>
      <c r="F392" s="2">
        <v>171</v>
      </c>
    </row>
    <row r="393" spans="1:6" x14ac:dyDescent="0.2">
      <c r="A393" s="6" t="s">
        <v>126</v>
      </c>
      <c r="B393" s="4">
        <v>121</v>
      </c>
      <c r="C393" s="2" t="s">
        <v>2310</v>
      </c>
      <c r="D393" s="2" t="s">
        <v>3</v>
      </c>
      <c r="E393" s="7" t="s">
        <v>411</v>
      </c>
      <c r="F393" s="2">
        <v>189</v>
      </c>
    </row>
    <row r="394" spans="1:6" x14ac:dyDescent="0.2">
      <c r="A394" s="6" t="s">
        <v>315</v>
      </c>
      <c r="B394" s="4">
        <v>311</v>
      </c>
      <c r="C394" s="2" t="s">
        <v>2307</v>
      </c>
      <c r="D394" s="2" t="s">
        <v>2</v>
      </c>
      <c r="E394" s="5" t="s">
        <v>408</v>
      </c>
      <c r="F394" s="2">
        <v>189</v>
      </c>
    </row>
    <row r="395" spans="1:6" x14ac:dyDescent="0.2">
      <c r="A395" s="6" t="s">
        <v>228</v>
      </c>
      <c r="B395" s="4">
        <v>224</v>
      </c>
      <c r="C395" s="2" t="s">
        <v>2308</v>
      </c>
      <c r="D395" s="2" t="s">
        <v>3</v>
      </c>
      <c r="E395" s="7" t="s">
        <v>409</v>
      </c>
      <c r="F395" s="2">
        <v>202</v>
      </c>
    </row>
    <row r="396" spans="1:6" x14ac:dyDescent="0.2">
      <c r="A396" s="6" t="s">
        <v>281</v>
      </c>
      <c r="B396" s="4">
        <v>277</v>
      </c>
      <c r="C396" s="2" t="s">
        <v>2308</v>
      </c>
      <c r="D396" s="2" t="s">
        <v>5</v>
      </c>
      <c r="E396" s="5" t="s">
        <v>409</v>
      </c>
      <c r="F396" s="2">
        <v>174</v>
      </c>
    </row>
    <row r="397" spans="1:6" x14ac:dyDescent="0.2">
      <c r="A397" s="6" t="s">
        <v>256</v>
      </c>
      <c r="B397" s="4">
        <v>252</v>
      </c>
      <c r="C397" s="2" t="s">
        <v>2308</v>
      </c>
      <c r="D397" s="2" t="s">
        <v>4</v>
      </c>
      <c r="E397" s="5" t="s">
        <v>410</v>
      </c>
      <c r="F397" s="2">
        <v>231</v>
      </c>
    </row>
    <row r="398" spans="1:6" x14ac:dyDescent="0.2">
      <c r="A398" s="6" t="s">
        <v>292</v>
      </c>
      <c r="B398" s="4">
        <v>288</v>
      </c>
      <c r="C398" s="2" t="s">
        <v>2308</v>
      </c>
      <c r="D398" s="2" t="s">
        <v>5</v>
      </c>
      <c r="E398" s="6" t="s">
        <v>408</v>
      </c>
      <c r="F398" s="2">
        <v>173</v>
      </c>
    </row>
    <row r="399" spans="1:6" x14ac:dyDescent="0.2">
      <c r="A399" s="6" t="s">
        <v>381</v>
      </c>
      <c r="B399" s="4">
        <v>377</v>
      </c>
      <c r="C399" s="2" t="s">
        <v>2307</v>
      </c>
      <c r="D399" s="2" t="s">
        <v>5</v>
      </c>
      <c r="E399" s="5" t="s">
        <v>408</v>
      </c>
      <c r="F399" s="2">
        <v>293</v>
      </c>
    </row>
    <row r="400" spans="1:6" x14ac:dyDescent="0.2">
      <c r="A400" s="6" t="s">
        <v>226</v>
      </c>
      <c r="B400" s="4">
        <v>222</v>
      </c>
      <c r="C400" s="2" t="s">
        <v>2308</v>
      </c>
      <c r="D400" s="2" t="s">
        <v>3</v>
      </c>
      <c r="E400" s="7" t="s">
        <v>411</v>
      </c>
      <c r="F400" s="2">
        <v>139</v>
      </c>
    </row>
    <row r="401" spans="1:6" x14ac:dyDescent="0.2">
      <c r="A401" s="6" t="s">
        <v>119</v>
      </c>
      <c r="B401" s="4">
        <v>114</v>
      </c>
      <c r="C401" s="2" t="s">
        <v>2310</v>
      </c>
      <c r="D401" s="2" t="s">
        <v>2</v>
      </c>
      <c r="E401" s="5" t="s">
        <v>409</v>
      </c>
      <c r="F401" s="2">
        <v>278</v>
      </c>
    </row>
    <row r="402" spans="1:6" x14ac:dyDescent="0.2">
      <c r="A402" s="6" t="s">
        <v>274</v>
      </c>
      <c r="B402" s="4">
        <v>270</v>
      </c>
      <c r="C402" s="2" t="s">
        <v>2308</v>
      </c>
      <c r="D402" s="2" t="s">
        <v>4</v>
      </c>
      <c r="E402" s="6" t="s">
        <v>408</v>
      </c>
      <c r="F402" s="2">
        <v>221</v>
      </c>
    </row>
    <row r="403" spans="1:6" x14ac:dyDescent="0.2">
      <c r="A403" s="6" t="s">
        <v>124</v>
      </c>
      <c r="B403" s="4">
        <v>119</v>
      </c>
      <c r="C403" s="2" t="s">
        <v>2310</v>
      </c>
      <c r="D403" s="2" t="s">
        <v>3</v>
      </c>
      <c r="E403" s="7" t="s">
        <v>410</v>
      </c>
      <c r="F403" s="2">
        <v>175</v>
      </c>
    </row>
    <row r="404" spans="1:6" x14ac:dyDescent="0.2">
      <c r="A404" s="6" t="s">
        <v>320</v>
      </c>
      <c r="B404" s="4">
        <v>316</v>
      </c>
      <c r="C404" s="2" t="s">
        <v>2307</v>
      </c>
      <c r="D404" s="2" t="s">
        <v>2</v>
      </c>
      <c r="E404" s="5" t="s">
        <v>411</v>
      </c>
      <c r="F404" s="2">
        <v>201</v>
      </c>
    </row>
    <row r="405" spans="1:6" x14ac:dyDescent="0.2">
      <c r="A405" s="6" t="s">
        <v>74</v>
      </c>
      <c r="B405" s="4">
        <v>69</v>
      </c>
      <c r="C405" s="2" t="s">
        <v>2309</v>
      </c>
      <c r="D405" s="2" t="s">
        <v>4</v>
      </c>
      <c r="E405" s="5" t="s">
        <v>410</v>
      </c>
      <c r="F405" s="2">
        <v>233</v>
      </c>
    </row>
    <row r="406" spans="1:6" x14ac:dyDescent="0.2">
      <c r="A406" s="6" t="s">
        <v>45</v>
      </c>
      <c r="B406" s="4">
        <v>40</v>
      </c>
      <c r="C406" s="2" t="s">
        <v>2309</v>
      </c>
      <c r="D406" s="2" t="s">
        <v>3</v>
      </c>
      <c r="E406" s="5" t="s">
        <v>409</v>
      </c>
      <c r="F406" s="2">
        <v>188</v>
      </c>
    </row>
    <row r="407" spans="1:6" x14ac:dyDescent="0.2">
      <c r="A407" s="6" t="s">
        <v>221</v>
      </c>
      <c r="B407" s="4">
        <v>217</v>
      </c>
      <c r="C407" s="2" t="s">
        <v>2308</v>
      </c>
      <c r="D407" s="2" t="s">
        <v>3</v>
      </c>
      <c r="E407" s="7" t="s">
        <v>409</v>
      </c>
      <c r="F407" s="2">
        <v>243</v>
      </c>
    </row>
    <row r="408" spans="1:6" x14ac:dyDescent="0.2">
      <c r="A408" s="6" t="s">
        <v>280</v>
      </c>
      <c r="B408" s="4">
        <v>276</v>
      </c>
      <c r="C408" s="2" t="s">
        <v>2308</v>
      </c>
      <c r="D408" s="2" t="s">
        <v>5</v>
      </c>
      <c r="E408" s="5" t="s">
        <v>411</v>
      </c>
      <c r="F408" s="2">
        <v>135</v>
      </c>
    </row>
    <row r="409" spans="1:6" x14ac:dyDescent="0.2">
      <c r="A409" s="6" t="s">
        <v>331</v>
      </c>
      <c r="B409" s="4">
        <v>327</v>
      </c>
      <c r="C409" s="2" t="s">
        <v>2307</v>
      </c>
      <c r="D409" s="2" t="s">
        <v>3</v>
      </c>
      <c r="E409" s="5" t="s">
        <v>410</v>
      </c>
      <c r="F409" s="2">
        <v>172</v>
      </c>
    </row>
    <row r="410" spans="1:6" x14ac:dyDescent="0.2">
      <c r="A410" s="6" t="s">
        <v>379</v>
      </c>
      <c r="B410" s="4">
        <v>375</v>
      </c>
      <c r="C410" s="2" t="s">
        <v>2307</v>
      </c>
      <c r="D410" s="2" t="s">
        <v>4</v>
      </c>
      <c r="E410" s="5" t="s">
        <v>412</v>
      </c>
      <c r="F410" s="2">
        <v>150</v>
      </c>
    </row>
    <row r="411" spans="1:6" x14ac:dyDescent="0.2">
      <c r="A411" s="6" t="s">
        <v>277</v>
      </c>
      <c r="B411" s="4">
        <v>273</v>
      </c>
      <c r="C411" s="2" t="s">
        <v>2308</v>
      </c>
      <c r="D411" s="2" t="s">
        <v>5</v>
      </c>
      <c r="E411" s="5" t="s">
        <v>411</v>
      </c>
      <c r="F411" s="2">
        <v>252</v>
      </c>
    </row>
    <row r="412" spans="1:6" x14ac:dyDescent="0.2">
      <c r="A412" s="6" t="s">
        <v>103</v>
      </c>
      <c r="B412" s="4">
        <v>98</v>
      </c>
      <c r="C412" s="2" t="s">
        <v>2309</v>
      </c>
      <c r="D412" s="2" t="s">
        <v>5</v>
      </c>
      <c r="E412" s="5" t="s">
        <v>408</v>
      </c>
      <c r="F412" s="2">
        <v>242</v>
      </c>
    </row>
    <row r="413" spans="1:6" x14ac:dyDescent="0.2">
      <c r="A413" s="6" t="s">
        <v>406</v>
      </c>
      <c r="B413" s="4">
        <v>402</v>
      </c>
      <c r="C413" s="2" t="s">
        <v>2307</v>
      </c>
      <c r="D413" s="2" t="s">
        <v>5</v>
      </c>
      <c r="E413" s="5" t="s">
        <v>408</v>
      </c>
      <c r="F413" s="2">
        <v>197</v>
      </c>
    </row>
    <row r="414" spans="1:6" x14ac:dyDescent="0.2">
      <c r="A414" s="6" t="s">
        <v>375</v>
      </c>
      <c r="B414" s="4">
        <v>371</v>
      </c>
      <c r="C414" s="2" t="s">
        <v>2307</v>
      </c>
      <c r="D414" s="2" t="s">
        <v>4</v>
      </c>
      <c r="E414" s="5" t="s">
        <v>411</v>
      </c>
      <c r="F414" s="2">
        <v>291</v>
      </c>
    </row>
    <row r="415" spans="1:6" x14ac:dyDescent="0.2">
      <c r="A415" s="6" t="s">
        <v>328</v>
      </c>
      <c r="B415" s="4">
        <v>324</v>
      </c>
      <c r="C415" s="2" t="s">
        <v>2307</v>
      </c>
      <c r="D415" s="2" t="s">
        <v>2</v>
      </c>
      <c r="E415" s="5" t="s">
        <v>409</v>
      </c>
      <c r="F415" s="2">
        <v>284</v>
      </c>
    </row>
    <row r="416" spans="1:6" x14ac:dyDescent="0.2">
      <c r="A416" s="6" t="s">
        <v>247</v>
      </c>
      <c r="B416" s="4">
        <v>243</v>
      </c>
      <c r="C416" s="2" t="s">
        <v>2308</v>
      </c>
      <c r="D416" s="2" t="s">
        <v>4</v>
      </c>
      <c r="E416" s="6" t="s">
        <v>408</v>
      </c>
      <c r="F416" s="2">
        <v>287</v>
      </c>
    </row>
    <row r="417" spans="1:6" x14ac:dyDescent="0.2">
      <c r="A417" s="6" t="s">
        <v>88</v>
      </c>
      <c r="B417" s="4">
        <v>83</v>
      </c>
      <c r="C417" s="2" t="s">
        <v>2309</v>
      </c>
      <c r="D417" s="2" t="s">
        <v>5</v>
      </c>
      <c r="E417" s="5" t="s">
        <v>411</v>
      </c>
      <c r="F417" s="2">
        <v>156</v>
      </c>
    </row>
    <row r="418" spans="1:6" x14ac:dyDescent="0.2">
      <c r="A418" s="6" t="s">
        <v>111</v>
      </c>
      <c r="B418" s="4">
        <v>106</v>
      </c>
      <c r="C418" s="2" t="s">
        <v>2310</v>
      </c>
      <c r="D418" s="2" t="s">
        <v>2</v>
      </c>
      <c r="E418" s="5" t="s">
        <v>411</v>
      </c>
      <c r="F418" s="2">
        <v>171</v>
      </c>
    </row>
    <row r="419" spans="1:6" x14ac:dyDescent="0.2">
      <c r="A419" s="6" t="s">
        <v>390</v>
      </c>
      <c r="B419" s="4">
        <v>386</v>
      </c>
      <c r="C419" s="2" t="s">
        <v>2307</v>
      </c>
      <c r="D419" s="2" t="s">
        <v>5</v>
      </c>
      <c r="E419" s="5" t="s">
        <v>410</v>
      </c>
      <c r="F419" s="2">
        <v>164</v>
      </c>
    </row>
    <row r="420" spans="1:6" x14ac:dyDescent="0.2">
      <c r="A420" s="6" t="s">
        <v>392</v>
      </c>
      <c r="B420" s="4">
        <v>388</v>
      </c>
      <c r="C420" s="2" t="s">
        <v>2307</v>
      </c>
      <c r="D420" s="2" t="s">
        <v>5</v>
      </c>
      <c r="E420" s="5" t="s">
        <v>409</v>
      </c>
      <c r="F420" s="2">
        <v>137</v>
      </c>
    </row>
    <row r="421" spans="1:6" x14ac:dyDescent="0.2">
      <c r="A421" s="6" t="s">
        <v>170</v>
      </c>
      <c r="B421" s="4">
        <v>165</v>
      </c>
      <c r="C421" s="2" t="s">
        <v>2310</v>
      </c>
      <c r="D421" s="2" t="s">
        <v>4</v>
      </c>
      <c r="E421" s="7" t="s">
        <v>409</v>
      </c>
      <c r="F421" s="2">
        <v>297</v>
      </c>
    </row>
    <row r="422" spans="1:6" x14ac:dyDescent="0.2">
      <c r="A422" s="6" t="s">
        <v>281</v>
      </c>
      <c r="B422" s="4">
        <v>277</v>
      </c>
      <c r="C422" s="2" t="s">
        <v>2308</v>
      </c>
      <c r="D422" s="2" t="s">
        <v>5</v>
      </c>
      <c r="E422" s="5" t="s">
        <v>411</v>
      </c>
      <c r="F422" s="2">
        <v>188</v>
      </c>
    </row>
    <row r="423" spans="1:6" x14ac:dyDescent="0.2">
      <c r="A423" s="6" t="s">
        <v>80</v>
      </c>
      <c r="B423" s="4">
        <v>75</v>
      </c>
      <c r="C423" s="2" t="s">
        <v>2309</v>
      </c>
      <c r="D423" s="2" t="s">
        <v>5</v>
      </c>
      <c r="E423" s="5" t="s">
        <v>412</v>
      </c>
      <c r="F423" s="2">
        <v>275</v>
      </c>
    </row>
    <row r="424" spans="1:6" x14ac:dyDescent="0.2">
      <c r="A424" s="6" t="s">
        <v>49</v>
      </c>
      <c r="B424" s="4">
        <v>44</v>
      </c>
      <c r="C424" s="2" t="s">
        <v>2309</v>
      </c>
      <c r="D424" s="2" t="s">
        <v>3</v>
      </c>
      <c r="E424" s="5" t="s">
        <v>408</v>
      </c>
      <c r="F424" s="2">
        <v>127</v>
      </c>
    </row>
    <row r="425" spans="1:6" x14ac:dyDescent="0.2">
      <c r="A425" s="6" t="s">
        <v>224</v>
      </c>
      <c r="B425" s="4">
        <v>220</v>
      </c>
      <c r="C425" s="2" t="s">
        <v>2308</v>
      </c>
      <c r="D425" s="2" t="s">
        <v>3</v>
      </c>
      <c r="E425" s="7" t="s">
        <v>410</v>
      </c>
      <c r="F425" s="2">
        <v>219</v>
      </c>
    </row>
    <row r="426" spans="1:6" x14ac:dyDescent="0.2">
      <c r="A426" s="6" t="s">
        <v>379</v>
      </c>
      <c r="B426" s="4">
        <v>375</v>
      </c>
      <c r="C426" s="2" t="s">
        <v>2307</v>
      </c>
      <c r="D426" s="2" t="s">
        <v>4</v>
      </c>
      <c r="E426" s="5" t="s">
        <v>409</v>
      </c>
      <c r="F426" s="2">
        <v>148</v>
      </c>
    </row>
    <row r="427" spans="1:6" x14ac:dyDescent="0.2">
      <c r="A427" s="6" t="s">
        <v>329</v>
      </c>
      <c r="B427" s="4">
        <v>325</v>
      </c>
      <c r="C427" s="2" t="s">
        <v>2307</v>
      </c>
      <c r="D427" s="2" t="s">
        <v>2</v>
      </c>
      <c r="E427" s="5" t="s">
        <v>408</v>
      </c>
      <c r="F427" s="2">
        <v>136</v>
      </c>
    </row>
    <row r="428" spans="1:6" x14ac:dyDescent="0.2">
      <c r="A428" s="6" t="s">
        <v>14</v>
      </c>
      <c r="B428" s="4">
        <v>9</v>
      </c>
      <c r="C428" s="2" t="s">
        <v>2309</v>
      </c>
      <c r="D428" s="2" t="s">
        <v>2</v>
      </c>
      <c r="E428" s="5" t="s">
        <v>409</v>
      </c>
      <c r="F428" s="2">
        <v>140</v>
      </c>
    </row>
    <row r="429" spans="1:6" x14ac:dyDescent="0.2">
      <c r="A429" s="6" t="s">
        <v>239</v>
      </c>
      <c r="B429" s="4">
        <v>235</v>
      </c>
      <c r="C429" s="2" t="s">
        <v>2308</v>
      </c>
      <c r="D429" s="2" t="s">
        <v>3</v>
      </c>
      <c r="E429" s="6" t="s">
        <v>408</v>
      </c>
      <c r="F429" s="2">
        <v>124</v>
      </c>
    </row>
    <row r="430" spans="1:6" x14ac:dyDescent="0.2">
      <c r="A430" s="6" t="s">
        <v>164</v>
      </c>
      <c r="B430" s="4">
        <v>159</v>
      </c>
      <c r="C430" s="2" t="s">
        <v>2310</v>
      </c>
      <c r="D430" s="2" t="s">
        <v>4</v>
      </c>
      <c r="E430" s="7" t="s">
        <v>409</v>
      </c>
      <c r="F430" s="2">
        <v>234</v>
      </c>
    </row>
    <row r="431" spans="1:6" x14ac:dyDescent="0.2">
      <c r="A431" s="6" t="s">
        <v>271</v>
      </c>
      <c r="B431" s="4">
        <v>267</v>
      </c>
      <c r="C431" s="2" t="s">
        <v>2308</v>
      </c>
      <c r="D431" s="2" t="s">
        <v>4</v>
      </c>
      <c r="E431" s="6" t="s">
        <v>408</v>
      </c>
      <c r="F431" s="2">
        <v>211</v>
      </c>
    </row>
    <row r="432" spans="1:6" x14ac:dyDescent="0.2">
      <c r="A432" s="6" t="s">
        <v>99</v>
      </c>
      <c r="B432" s="4">
        <v>94</v>
      </c>
      <c r="C432" s="2" t="s">
        <v>2309</v>
      </c>
      <c r="D432" s="2" t="s">
        <v>5</v>
      </c>
      <c r="E432" s="5" t="s">
        <v>412</v>
      </c>
      <c r="F432" s="2">
        <v>172</v>
      </c>
    </row>
    <row r="433" spans="1:6" x14ac:dyDescent="0.2">
      <c r="A433" s="6" t="s">
        <v>119</v>
      </c>
      <c r="B433" s="4">
        <v>114</v>
      </c>
      <c r="C433" s="2" t="s">
        <v>2310</v>
      </c>
      <c r="D433" s="2" t="s">
        <v>2</v>
      </c>
      <c r="E433" s="5" t="s">
        <v>410</v>
      </c>
      <c r="F433" s="2">
        <v>260</v>
      </c>
    </row>
    <row r="434" spans="1:6" x14ac:dyDescent="0.2">
      <c r="A434" s="6" t="s">
        <v>266</v>
      </c>
      <c r="B434" s="4">
        <v>262</v>
      </c>
      <c r="C434" s="2" t="s">
        <v>2308</v>
      </c>
      <c r="D434" s="2" t="s">
        <v>4</v>
      </c>
      <c r="E434" s="5" t="s">
        <v>410</v>
      </c>
      <c r="F434" s="2">
        <v>186</v>
      </c>
    </row>
    <row r="435" spans="1:6" x14ac:dyDescent="0.2">
      <c r="A435" s="6" t="s">
        <v>204</v>
      </c>
      <c r="B435" s="4">
        <v>200</v>
      </c>
      <c r="C435" s="2" t="s">
        <v>2308</v>
      </c>
      <c r="D435" s="2" t="s">
        <v>2</v>
      </c>
      <c r="E435" s="5" t="s">
        <v>410</v>
      </c>
      <c r="F435" s="2">
        <v>214</v>
      </c>
    </row>
    <row r="436" spans="1:6" x14ac:dyDescent="0.2">
      <c r="A436" s="6" t="s">
        <v>189</v>
      </c>
      <c r="B436" s="4">
        <v>184</v>
      </c>
      <c r="C436" s="2" t="s">
        <v>2310</v>
      </c>
      <c r="D436" s="2" t="s">
        <v>5</v>
      </c>
      <c r="E436" s="5" t="s">
        <v>411</v>
      </c>
      <c r="F436" s="2">
        <v>245</v>
      </c>
    </row>
    <row r="437" spans="1:6" x14ac:dyDescent="0.2">
      <c r="A437" s="6" t="s">
        <v>152</v>
      </c>
      <c r="B437" s="4">
        <v>147</v>
      </c>
      <c r="C437" s="2" t="s">
        <v>2310</v>
      </c>
      <c r="D437" s="2" t="s">
        <v>4</v>
      </c>
      <c r="E437" s="6" t="s">
        <v>408</v>
      </c>
      <c r="F437" s="2">
        <v>154</v>
      </c>
    </row>
    <row r="438" spans="1:6" x14ac:dyDescent="0.2">
      <c r="A438" s="6" t="s">
        <v>269</v>
      </c>
      <c r="B438" s="4">
        <v>265</v>
      </c>
      <c r="C438" s="2" t="s">
        <v>2308</v>
      </c>
      <c r="D438" s="2" t="s">
        <v>4</v>
      </c>
      <c r="E438" s="6" t="s">
        <v>408</v>
      </c>
      <c r="F438" s="2">
        <v>143</v>
      </c>
    </row>
    <row r="439" spans="1:6" x14ac:dyDescent="0.2">
      <c r="A439" s="6" t="s">
        <v>168</v>
      </c>
      <c r="B439" s="4">
        <v>163</v>
      </c>
      <c r="C439" s="2" t="s">
        <v>2310</v>
      </c>
      <c r="D439" s="2" t="s">
        <v>4</v>
      </c>
      <c r="E439" s="5" t="s">
        <v>411</v>
      </c>
      <c r="F439" s="2">
        <v>205</v>
      </c>
    </row>
    <row r="440" spans="1:6" x14ac:dyDescent="0.2">
      <c r="A440" s="6" t="s">
        <v>360</v>
      </c>
      <c r="B440" s="4">
        <v>356</v>
      </c>
      <c r="C440" s="2" t="s">
        <v>2307</v>
      </c>
      <c r="D440" s="2" t="s">
        <v>4</v>
      </c>
      <c r="E440" s="5" t="s">
        <v>412</v>
      </c>
      <c r="F440" s="2">
        <v>222</v>
      </c>
    </row>
    <row r="441" spans="1:6" x14ac:dyDescent="0.2">
      <c r="A441" s="6" t="s">
        <v>234</v>
      </c>
      <c r="B441" s="4">
        <v>230</v>
      </c>
      <c r="C441" s="2" t="s">
        <v>2308</v>
      </c>
      <c r="D441" s="2" t="s">
        <v>3</v>
      </c>
      <c r="E441" s="6" t="s">
        <v>408</v>
      </c>
      <c r="F441" s="2">
        <v>253</v>
      </c>
    </row>
    <row r="442" spans="1:6" x14ac:dyDescent="0.2">
      <c r="A442" s="6" t="s">
        <v>203</v>
      </c>
      <c r="B442" s="4">
        <v>199</v>
      </c>
      <c r="C442" s="2" t="s">
        <v>2308</v>
      </c>
      <c r="D442" s="2" t="s">
        <v>2</v>
      </c>
      <c r="E442" s="5" t="s">
        <v>411</v>
      </c>
      <c r="F442" s="2">
        <v>134</v>
      </c>
    </row>
    <row r="443" spans="1:6" x14ac:dyDescent="0.2">
      <c r="A443" s="6" t="s">
        <v>86</v>
      </c>
      <c r="B443" s="4">
        <v>81</v>
      </c>
      <c r="C443" s="2" t="s">
        <v>2309</v>
      </c>
      <c r="D443" s="2" t="s">
        <v>5</v>
      </c>
      <c r="E443" s="5" t="s">
        <v>408</v>
      </c>
      <c r="F443" s="2">
        <v>122</v>
      </c>
    </row>
    <row r="444" spans="1:6" x14ac:dyDescent="0.2">
      <c r="A444" s="6" t="s">
        <v>371</v>
      </c>
      <c r="B444" s="4">
        <v>367</v>
      </c>
      <c r="C444" s="2" t="s">
        <v>2307</v>
      </c>
      <c r="D444" s="2" t="s">
        <v>4</v>
      </c>
      <c r="E444" s="5" t="s">
        <v>412</v>
      </c>
      <c r="F444" s="2">
        <v>156</v>
      </c>
    </row>
    <row r="445" spans="1:6" x14ac:dyDescent="0.2">
      <c r="A445" s="6" t="s">
        <v>69</v>
      </c>
      <c r="B445" s="4">
        <v>64</v>
      </c>
      <c r="C445" s="2" t="s">
        <v>2309</v>
      </c>
      <c r="D445" s="2" t="s">
        <v>4</v>
      </c>
      <c r="E445" s="5" t="s">
        <v>408</v>
      </c>
      <c r="F445" s="2">
        <v>242</v>
      </c>
    </row>
    <row r="446" spans="1:6" x14ac:dyDescent="0.2">
      <c r="A446" s="6" t="s">
        <v>190</v>
      </c>
      <c r="B446" s="4">
        <v>185</v>
      </c>
      <c r="C446" s="2" t="s">
        <v>2310</v>
      </c>
      <c r="D446" s="2" t="s">
        <v>5</v>
      </c>
      <c r="E446" s="7" t="s">
        <v>410</v>
      </c>
      <c r="F446" s="2">
        <v>241</v>
      </c>
    </row>
    <row r="447" spans="1:6" x14ac:dyDescent="0.2">
      <c r="A447" s="6" t="s">
        <v>310</v>
      </c>
      <c r="B447" s="4">
        <v>306</v>
      </c>
      <c r="C447" s="2" t="s">
        <v>2307</v>
      </c>
      <c r="D447" s="2" t="s">
        <v>2</v>
      </c>
      <c r="E447" s="5" t="s">
        <v>411</v>
      </c>
      <c r="F447" s="2">
        <v>291</v>
      </c>
    </row>
    <row r="448" spans="1:6" x14ac:dyDescent="0.2">
      <c r="A448" s="6" t="s">
        <v>81</v>
      </c>
      <c r="B448" s="4">
        <v>76</v>
      </c>
      <c r="C448" s="2" t="s">
        <v>2309</v>
      </c>
      <c r="D448" s="2" t="s">
        <v>5</v>
      </c>
      <c r="E448" s="5" t="s">
        <v>408</v>
      </c>
      <c r="F448" s="2">
        <v>292</v>
      </c>
    </row>
    <row r="449" spans="1:6" x14ac:dyDescent="0.2">
      <c r="A449" s="6" t="s">
        <v>401</v>
      </c>
      <c r="B449" s="4">
        <v>397</v>
      </c>
      <c r="C449" s="2" t="s">
        <v>2307</v>
      </c>
      <c r="D449" s="2" t="s">
        <v>5</v>
      </c>
      <c r="E449" s="5" t="s">
        <v>411</v>
      </c>
      <c r="F449" s="2">
        <v>186</v>
      </c>
    </row>
    <row r="450" spans="1:6" x14ac:dyDescent="0.2">
      <c r="A450" s="6" t="s">
        <v>160</v>
      </c>
      <c r="B450" s="4">
        <v>155</v>
      </c>
      <c r="C450" s="2" t="s">
        <v>2310</v>
      </c>
      <c r="D450" s="2" t="s">
        <v>4</v>
      </c>
      <c r="E450" s="7" t="s">
        <v>409</v>
      </c>
      <c r="F450" s="2">
        <v>196</v>
      </c>
    </row>
    <row r="451" spans="1:6" x14ac:dyDescent="0.2">
      <c r="A451" s="6" t="s">
        <v>261</v>
      </c>
      <c r="B451" s="4">
        <v>257</v>
      </c>
      <c r="C451" s="2" t="s">
        <v>2308</v>
      </c>
      <c r="D451" s="2" t="s">
        <v>4</v>
      </c>
      <c r="E451" s="5" t="s">
        <v>411</v>
      </c>
      <c r="F451" s="2">
        <v>121</v>
      </c>
    </row>
    <row r="452" spans="1:6" x14ac:dyDescent="0.2">
      <c r="A452" s="6" t="s">
        <v>229</v>
      </c>
      <c r="B452" s="4">
        <v>225</v>
      </c>
      <c r="C452" s="2" t="s">
        <v>2308</v>
      </c>
      <c r="D452" s="2" t="s">
        <v>3</v>
      </c>
      <c r="E452" s="7" t="s">
        <v>409</v>
      </c>
      <c r="F452" s="2">
        <v>202</v>
      </c>
    </row>
    <row r="453" spans="1:6" x14ac:dyDescent="0.2">
      <c r="A453" s="6" t="s">
        <v>252</v>
      </c>
      <c r="B453" s="4">
        <v>248</v>
      </c>
      <c r="C453" s="2" t="s">
        <v>2308</v>
      </c>
      <c r="D453" s="2" t="s">
        <v>4</v>
      </c>
      <c r="E453" s="5" t="s">
        <v>410</v>
      </c>
      <c r="F453" s="2">
        <v>253</v>
      </c>
    </row>
    <row r="454" spans="1:6" x14ac:dyDescent="0.2">
      <c r="A454" s="6" t="s">
        <v>46</v>
      </c>
      <c r="B454" s="4">
        <v>41</v>
      </c>
      <c r="C454" s="2" t="s">
        <v>2309</v>
      </c>
      <c r="D454" s="2" t="s">
        <v>3</v>
      </c>
      <c r="E454" s="5" t="s">
        <v>412</v>
      </c>
      <c r="F454" s="2">
        <v>197</v>
      </c>
    </row>
    <row r="455" spans="1:6" x14ac:dyDescent="0.2">
      <c r="A455" s="6" t="s">
        <v>72</v>
      </c>
      <c r="B455" s="4">
        <v>67</v>
      </c>
      <c r="C455" s="2" t="s">
        <v>2309</v>
      </c>
      <c r="D455" s="2" t="s">
        <v>4</v>
      </c>
      <c r="E455" s="5" t="s">
        <v>408</v>
      </c>
      <c r="F455" s="2">
        <v>263</v>
      </c>
    </row>
    <row r="456" spans="1:6" x14ac:dyDescent="0.2">
      <c r="A456" s="6" t="s">
        <v>313</v>
      </c>
      <c r="B456" s="4">
        <v>309</v>
      </c>
      <c r="C456" s="2" t="s">
        <v>2307</v>
      </c>
      <c r="D456" s="2" t="s">
        <v>2</v>
      </c>
      <c r="E456" s="5" t="s">
        <v>411</v>
      </c>
      <c r="F456" s="2">
        <v>243</v>
      </c>
    </row>
    <row r="457" spans="1:6" x14ac:dyDescent="0.2">
      <c r="A457" s="6" t="s">
        <v>313</v>
      </c>
      <c r="B457" s="4">
        <v>309</v>
      </c>
      <c r="C457" s="2" t="s">
        <v>2307</v>
      </c>
      <c r="D457" s="2" t="s">
        <v>2</v>
      </c>
      <c r="E457" s="5" t="s">
        <v>412</v>
      </c>
      <c r="F457" s="2">
        <v>259</v>
      </c>
    </row>
    <row r="458" spans="1:6" x14ac:dyDescent="0.2">
      <c r="A458" s="6" t="s">
        <v>98</v>
      </c>
      <c r="B458" s="4">
        <v>93</v>
      </c>
      <c r="C458" s="2" t="s">
        <v>2309</v>
      </c>
      <c r="D458" s="2" t="s">
        <v>5</v>
      </c>
      <c r="E458" s="5" t="s">
        <v>410</v>
      </c>
      <c r="F458" s="2">
        <v>265</v>
      </c>
    </row>
    <row r="459" spans="1:6" x14ac:dyDescent="0.2">
      <c r="A459" s="6" t="s">
        <v>223</v>
      </c>
      <c r="B459" s="4">
        <v>219</v>
      </c>
      <c r="C459" s="2" t="s">
        <v>2308</v>
      </c>
      <c r="D459" s="2" t="s">
        <v>3</v>
      </c>
      <c r="E459" s="6" t="s">
        <v>408</v>
      </c>
      <c r="F459" s="2">
        <v>235</v>
      </c>
    </row>
    <row r="460" spans="1:6" x14ac:dyDescent="0.2">
      <c r="A460" s="6" t="s">
        <v>357</v>
      </c>
      <c r="B460" s="4">
        <v>353</v>
      </c>
      <c r="C460" s="2" t="s">
        <v>2307</v>
      </c>
      <c r="D460" s="2" t="s">
        <v>4</v>
      </c>
      <c r="E460" s="5" t="s">
        <v>410</v>
      </c>
      <c r="F460" s="2">
        <v>226</v>
      </c>
    </row>
    <row r="461" spans="1:6" x14ac:dyDescent="0.2">
      <c r="A461" s="6" t="s">
        <v>31</v>
      </c>
      <c r="B461" s="4">
        <v>26</v>
      </c>
      <c r="C461" s="2" t="s">
        <v>2309</v>
      </c>
      <c r="D461" s="2" t="s">
        <v>2</v>
      </c>
      <c r="E461" s="5" t="s">
        <v>411</v>
      </c>
      <c r="F461" s="2">
        <v>141</v>
      </c>
    </row>
    <row r="462" spans="1:6" x14ac:dyDescent="0.2">
      <c r="A462" s="6" t="s">
        <v>303</v>
      </c>
      <c r="B462" s="4">
        <v>299</v>
      </c>
      <c r="C462" s="2" t="s">
        <v>2307</v>
      </c>
      <c r="D462" s="2" t="s">
        <v>2</v>
      </c>
      <c r="E462" s="5" t="s">
        <v>411</v>
      </c>
      <c r="F462" s="2">
        <v>139</v>
      </c>
    </row>
    <row r="463" spans="1:6" x14ac:dyDescent="0.2">
      <c r="A463" s="6" t="s">
        <v>48</v>
      </c>
      <c r="B463" s="4">
        <v>43</v>
      </c>
      <c r="C463" s="2" t="s">
        <v>2309</v>
      </c>
      <c r="D463" s="2" t="s">
        <v>3</v>
      </c>
      <c r="E463" s="5" t="s">
        <v>408</v>
      </c>
      <c r="F463" s="2">
        <v>141</v>
      </c>
    </row>
    <row r="464" spans="1:6" x14ac:dyDescent="0.2">
      <c r="A464" s="6" t="s">
        <v>154</v>
      </c>
      <c r="B464" s="4">
        <v>149</v>
      </c>
      <c r="C464" s="2" t="s">
        <v>2310</v>
      </c>
      <c r="D464" s="2" t="s">
        <v>4</v>
      </c>
      <c r="E464" s="5" t="s">
        <v>410</v>
      </c>
      <c r="F464" s="2">
        <v>248</v>
      </c>
    </row>
    <row r="465" spans="1:6" x14ac:dyDescent="0.2">
      <c r="A465" s="6" t="s">
        <v>255</v>
      </c>
      <c r="B465" s="4">
        <v>251</v>
      </c>
      <c r="C465" s="2" t="s">
        <v>2308</v>
      </c>
      <c r="D465" s="2" t="s">
        <v>4</v>
      </c>
      <c r="E465" s="7" t="s">
        <v>409</v>
      </c>
      <c r="F465" s="2">
        <v>198</v>
      </c>
    </row>
    <row r="466" spans="1:6" x14ac:dyDescent="0.2">
      <c r="A466" s="6" t="s">
        <v>350</v>
      </c>
      <c r="B466" s="4">
        <v>346</v>
      </c>
      <c r="C466" s="2" t="s">
        <v>2307</v>
      </c>
      <c r="D466" s="2" t="s">
        <v>3</v>
      </c>
      <c r="E466" s="5" t="s">
        <v>410</v>
      </c>
      <c r="F466" s="2">
        <v>296</v>
      </c>
    </row>
    <row r="467" spans="1:6" x14ac:dyDescent="0.2">
      <c r="A467" s="6" t="s">
        <v>241</v>
      </c>
      <c r="B467" s="4">
        <v>237</v>
      </c>
      <c r="C467" s="2" t="s">
        <v>2308</v>
      </c>
      <c r="D467" s="2" t="s">
        <v>3</v>
      </c>
      <c r="E467" s="7" t="s">
        <v>409</v>
      </c>
      <c r="F467" s="2">
        <v>245</v>
      </c>
    </row>
    <row r="468" spans="1:6" x14ac:dyDescent="0.2">
      <c r="A468" s="6" t="s">
        <v>131</v>
      </c>
      <c r="B468" s="4">
        <v>126</v>
      </c>
      <c r="C468" s="2" t="s">
        <v>2310</v>
      </c>
      <c r="D468" s="2" t="s">
        <v>3</v>
      </c>
      <c r="E468" s="5" t="s">
        <v>412</v>
      </c>
      <c r="F468" s="2">
        <v>300</v>
      </c>
    </row>
    <row r="469" spans="1:6" x14ac:dyDescent="0.2">
      <c r="A469" s="6" t="s">
        <v>387</v>
      </c>
      <c r="B469" s="4">
        <v>383</v>
      </c>
      <c r="C469" s="2" t="s">
        <v>2307</v>
      </c>
      <c r="D469" s="2" t="s">
        <v>5</v>
      </c>
      <c r="E469" s="5" t="s">
        <v>411</v>
      </c>
      <c r="F469" s="2">
        <v>189</v>
      </c>
    </row>
    <row r="470" spans="1:6" x14ac:dyDescent="0.2">
      <c r="A470" s="6" t="s">
        <v>249</v>
      </c>
      <c r="B470" s="4">
        <v>245</v>
      </c>
      <c r="C470" s="2" t="s">
        <v>2308</v>
      </c>
      <c r="D470" s="2" t="s">
        <v>4</v>
      </c>
      <c r="E470" s="7" t="s">
        <v>409</v>
      </c>
      <c r="F470" s="2">
        <v>276</v>
      </c>
    </row>
    <row r="471" spans="1:6" x14ac:dyDescent="0.2">
      <c r="A471" s="6" t="s">
        <v>314</v>
      </c>
      <c r="B471" s="4">
        <v>310</v>
      </c>
      <c r="C471" s="2" t="s">
        <v>2307</v>
      </c>
      <c r="D471" s="2" t="s">
        <v>2</v>
      </c>
      <c r="E471" s="5" t="s">
        <v>411</v>
      </c>
      <c r="F471" s="2">
        <v>139</v>
      </c>
    </row>
    <row r="472" spans="1:6" x14ac:dyDescent="0.2">
      <c r="A472" s="6" t="s">
        <v>26</v>
      </c>
      <c r="B472" s="4">
        <v>21</v>
      </c>
      <c r="C472" s="2" t="s">
        <v>2309</v>
      </c>
      <c r="D472" s="2" t="s">
        <v>2</v>
      </c>
      <c r="E472" s="5" t="s">
        <v>411</v>
      </c>
      <c r="F472" s="2">
        <v>231</v>
      </c>
    </row>
    <row r="473" spans="1:6" x14ac:dyDescent="0.2">
      <c r="A473" s="6" t="s">
        <v>340</v>
      </c>
      <c r="B473" s="4">
        <v>336</v>
      </c>
      <c r="C473" s="2" t="s">
        <v>2307</v>
      </c>
      <c r="D473" s="2" t="s">
        <v>3</v>
      </c>
      <c r="E473" s="5" t="s">
        <v>411</v>
      </c>
      <c r="F473" s="2">
        <v>239</v>
      </c>
    </row>
    <row r="474" spans="1:6" x14ac:dyDescent="0.2">
      <c r="A474" s="6" t="s">
        <v>280</v>
      </c>
      <c r="B474" s="4">
        <v>276</v>
      </c>
      <c r="C474" s="2" t="s">
        <v>2308</v>
      </c>
      <c r="D474" s="2" t="s">
        <v>5</v>
      </c>
      <c r="E474" s="5" t="s">
        <v>412</v>
      </c>
      <c r="F474" s="2">
        <v>251</v>
      </c>
    </row>
    <row r="475" spans="1:6" x14ac:dyDescent="0.2">
      <c r="A475" s="6" t="s">
        <v>349</v>
      </c>
      <c r="B475" s="4">
        <v>345</v>
      </c>
      <c r="C475" s="2" t="s">
        <v>2307</v>
      </c>
      <c r="D475" s="2" t="s">
        <v>3</v>
      </c>
      <c r="E475" s="5" t="s">
        <v>409</v>
      </c>
      <c r="F475" s="2">
        <v>278</v>
      </c>
    </row>
    <row r="476" spans="1:6" x14ac:dyDescent="0.2">
      <c r="A476" s="6" t="s">
        <v>295</v>
      </c>
      <c r="B476" s="4">
        <v>291</v>
      </c>
      <c r="C476" s="2" t="s">
        <v>2308</v>
      </c>
      <c r="D476" s="2" t="s">
        <v>5</v>
      </c>
      <c r="E476" s="5" t="s">
        <v>412</v>
      </c>
      <c r="F476" s="2">
        <v>121</v>
      </c>
    </row>
    <row r="477" spans="1:6" x14ac:dyDescent="0.2">
      <c r="A477" s="6" t="s">
        <v>341</v>
      </c>
      <c r="B477" s="4">
        <v>337</v>
      </c>
      <c r="C477" s="2" t="s">
        <v>2307</v>
      </c>
      <c r="D477" s="2" t="s">
        <v>3</v>
      </c>
      <c r="E477" s="5" t="s">
        <v>410</v>
      </c>
      <c r="F477" s="2">
        <v>171</v>
      </c>
    </row>
    <row r="478" spans="1:6" x14ac:dyDescent="0.2">
      <c r="A478" s="6" t="s">
        <v>99</v>
      </c>
      <c r="B478" s="4">
        <v>94</v>
      </c>
      <c r="C478" s="2" t="s">
        <v>2309</v>
      </c>
      <c r="D478" s="2" t="s">
        <v>5</v>
      </c>
      <c r="E478" s="5" t="s">
        <v>410</v>
      </c>
      <c r="F478" s="2">
        <v>261</v>
      </c>
    </row>
    <row r="479" spans="1:6" x14ac:dyDescent="0.2">
      <c r="A479" s="6" t="s">
        <v>12</v>
      </c>
      <c r="B479" s="4">
        <v>7</v>
      </c>
      <c r="C479" s="2" t="s">
        <v>2309</v>
      </c>
      <c r="D479" s="2" t="s">
        <v>2</v>
      </c>
      <c r="E479" s="5" t="s">
        <v>412</v>
      </c>
      <c r="F479" s="2">
        <v>166</v>
      </c>
    </row>
    <row r="480" spans="1:6" x14ac:dyDescent="0.2">
      <c r="A480" s="6" t="s">
        <v>245</v>
      </c>
      <c r="B480" s="4">
        <v>241</v>
      </c>
      <c r="C480" s="2" t="s">
        <v>2308</v>
      </c>
      <c r="D480" s="2" t="s">
        <v>3</v>
      </c>
      <c r="E480" s="6" t="s">
        <v>408</v>
      </c>
      <c r="F480" s="2">
        <v>172</v>
      </c>
    </row>
    <row r="481" spans="1:6" x14ac:dyDescent="0.2">
      <c r="A481" s="6" t="s">
        <v>373</v>
      </c>
      <c r="B481" s="4">
        <v>369</v>
      </c>
      <c r="C481" s="2" t="s">
        <v>2307</v>
      </c>
      <c r="D481" s="2" t="s">
        <v>4</v>
      </c>
      <c r="E481" s="5" t="s">
        <v>408</v>
      </c>
      <c r="F481" s="2">
        <v>209</v>
      </c>
    </row>
    <row r="482" spans="1:6" x14ac:dyDescent="0.2">
      <c r="A482" s="6" t="s">
        <v>376</v>
      </c>
      <c r="B482" s="4">
        <v>372</v>
      </c>
      <c r="C482" s="2" t="s">
        <v>2307</v>
      </c>
      <c r="D482" s="2" t="s">
        <v>4</v>
      </c>
      <c r="E482" s="5" t="s">
        <v>410</v>
      </c>
      <c r="F482" s="2">
        <v>121</v>
      </c>
    </row>
    <row r="483" spans="1:6" x14ac:dyDescent="0.2">
      <c r="A483" s="6" t="s">
        <v>13</v>
      </c>
      <c r="B483" s="4">
        <v>8</v>
      </c>
      <c r="C483" s="2" t="s">
        <v>2309</v>
      </c>
      <c r="D483" s="2" t="s">
        <v>2</v>
      </c>
      <c r="E483" s="5" t="s">
        <v>409</v>
      </c>
      <c r="F483" s="2">
        <v>253</v>
      </c>
    </row>
    <row r="484" spans="1:6" x14ac:dyDescent="0.2">
      <c r="A484" s="6" t="s">
        <v>120</v>
      </c>
      <c r="B484" s="4">
        <v>115</v>
      </c>
      <c r="C484" s="2" t="s">
        <v>2310</v>
      </c>
      <c r="D484" s="2" t="s">
        <v>2</v>
      </c>
      <c r="E484" s="5" t="s">
        <v>410</v>
      </c>
      <c r="F484" s="2">
        <v>211</v>
      </c>
    </row>
    <row r="485" spans="1:6" x14ac:dyDescent="0.2">
      <c r="A485" s="6" t="s">
        <v>59</v>
      </c>
      <c r="B485" s="4">
        <v>54</v>
      </c>
      <c r="C485" s="2" t="s">
        <v>2309</v>
      </c>
      <c r="D485" s="2" t="s">
        <v>4</v>
      </c>
      <c r="E485" s="5" t="s">
        <v>410</v>
      </c>
      <c r="F485" s="2">
        <v>169</v>
      </c>
    </row>
    <row r="486" spans="1:6" x14ac:dyDescent="0.2">
      <c r="A486" s="6" t="s">
        <v>306</v>
      </c>
      <c r="B486" s="4">
        <v>302</v>
      </c>
      <c r="C486" s="2" t="s">
        <v>2307</v>
      </c>
      <c r="D486" s="2" t="s">
        <v>2</v>
      </c>
      <c r="E486" s="5" t="s">
        <v>408</v>
      </c>
      <c r="F486" s="2">
        <v>209</v>
      </c>
    </row>
    <row r="487" spans="1:6" x14ac:dyDescent="0.2">
      <c r="A487" s="6" t="s">
        <v>373</v>
      </c>
      <c r="B487" s="4">
        <v>369</v>
      </c>
      <c r="C487" s="2" t="s">
        <v>2307</v>
      </c>
      <c r="D487" s="2" t="s">
        <v>4</v>
      </c>
      <c r="E487" s="5" t="s">
        <v>410</v>
      </c>
      <c r="F487" s="2">
        <v>169</v>
      </c>
    </row>
    <row r="488" spans="1:6" x14ac:dyDescent="0.2">
      <c r="A488" s="6" t="s">
        <v>119</v>
      </c>
      <c r="B488" s="4">
        <v>114</v>
      </c>
      <c r="C488" s="2" t="s">
        <v>2310</v>
      </c>
      <c r="D488" s="2" t="s">
        <v>2</v>
      </c>
      <c r="E488" s="5" t="s">
        <v>412</v>
      </c>
      <c r="F488" s="2">
        <v>123</v>
      </c>
    </row>
    <row r="489" spans="1:6" x14ac:dyDescent="0.2">
      <c r="A489" s="6" t="s">
        <v>175</v>
      </c>
      <c r="B489" s="4">
        <v>170</v>
      </c>
      <c r="C489" s="2" t="s">
        <v>2310</v>
      </c>
      <c r="D489" s="2" t="s">
        <v>5</v>
      </c>
      <c r="E489" s="5" t="s">
        <v>411</v>
      </c>
      <c r="F489" s="2">
        <v>192</v>
      </c>
    </row>
    <row r="490" spans="1:6" x14ac:dyDescent="0.2">
      <c r="A490" s="6" t="s">
        <v>95</v>
      </c>
      <c r="B490" s="4">
        <v>90</v>
      </c>
      <c r="C490" s="2" t="s">
        <v>2309</v>
      </c>
      <c r="D490" s="2" t="s">
        <v>5</v>
      </c>
      <c r="E490" s="5" t="s">
        <v>408</v>
      </c>
      <c r="F490" s="2">
        <v>284</v>
      </c>
    </row>
    <row r="491" spans="1:6" x14ac:dyDescent="0.2">
      <c r="A491" s="6" t="s">
        <v>269</v>
      </c>
      <c r="B491" s="4">
        <v>265</v>
      </c>
      <c r="C491" s="2" t="s">
        <v>2308</v>
      </c>
      <c r="D491" s="2" t="s">
        <v>4</v>
      </c>
      <c r="E491" s="7" t="s">
        <v>409</v>
      </c>
      <c r="F491" s="2">
        <v>296</v>
      </c>
    </row>
    <row r="492" spans="1:6" x14ac:dyDescent="0.2">
      <c r="A492" s="6" t="s">
        <v>324</v>
      </c>
      <c r="B492" s="4">
        <v>320</v>
      </c>
      <c r="C492" s="2" t="s">
        <v>2307</v>
      </c>
      <c r="D492" s="2" t="s">
        <v>2</v>
      </c>
      <c r="E492" s="5" t="s">
        <v>412</v>
      </c>
      <c r="F492" s="2">
        <v>239</v>
      </c>
    </row>
    <row r="493" spans="1:6" x14ac:dyDescent="0.2">
      <c r="A493" s="6" t="s">
        <v>12</v>
      </c>
      <c r="B493" s="4">
        <v>7</v>
      </c>
      <c r="C493" s="2" t="s">
        <v>2309</v>
      </c>
      <c r="D493" s="2" t="s">
        <v>2</v>
      </c>
      <c r="E493" s="5" t="s">
        <v>408</v>
      </c>
      <c r="F493" s="2">
        <v>234</v>
      </c>
    </row>
    <row r="494" spans="1:6" x14ac:dyDescent="0.2">
      <c r="A494" s="6" t="s">
        <v>108</v>
      </c>
      <c r="B494" s="4">
        <v>103</v>
      </c>
      <c r="C494" s="2" t="s">
        <v>2310</v>
      </c>
      <c r="D494" s="2" t="s">
        <v>2</v>
      </c>
      <c r="E494" s="5" t="s">
        <v>409</v>
      </c>
      <c r="F494" s="2">
        <v>198</v>
      </c>
    </row>
    <row r="495" spans="1:6" x14ac:dyDescent="0.2">
      <c r="A495" s="6" t="s">
        <v>128</v>
      </c>
      <c r="B495" s="4">
        <v>123</v>
      </c>
      <c r="C495" s="2" t="s">
        <v>2310</v>
      </c>
      <c r="D495" s="2" t="s">
        <v>3</v>
      </c>
      <c r="E495" s="7" t="s">
        <v>411</v>
      </c>
      <c r="F495" s="2">
        <v>292</v>
      </c>
    </row>
    <row r="496" spans="1:6" x14ac:dyDescent="0.2">
      <c r="A496" s="6" t="s">
        <v>296</v>
      </c>
      <c r="B496" s="4">
        <v>292</v>
      </c>
      <c r="C496" s="2" t="s">
        <v>2308</v>
      </c>
      <c r="D496" s="2" t="s">
        <v>5</v>
      </c>
      <c r="E496" s="6" t="s">
        <v>408</v>
      </c>
      <c r="F496" s="2">
        <v>211</v>
      </c>
    </row>
    <row r="497" spans="1:6" x14ac:dyDescent="0.2">
      <c r="A497" s="6" t="s">
        <v>361</v>
      </c>
      <c r="B497" s="4">
        <v>357</v>
      </c>
      <c r="C497" s="2" t="s">
        <v>2307</v>
      </c>
      <c r="D497" s="2" t="s">
        <v>4</v>
      </c>
      <c r="E497" s="5" t="s">
        <v>411</v>
      </c>
      <c r="F497" s="2">
        <v>198</v>
      </c>
    </row>
    <row r="498" spans="1:6" x14ac:dyDescent="0.2">
      <c r="A498" s="6" t="s">
        <v>113</v>
      </c>
      <c r="B498" s="4">
        <v>108</v>
      </c>
      <c r="C498" s="2" t="s">
        <v>2310</v>
      </c>
      <c r="D498" s="2" t="s">
        <v>2</v>
      </c>
      <c r="E498" s="5" t="s">
        <v>409</v>
      </c>
      <c r="F498" s="2">
        <v>254</v>
      </c>
    </row>
    <row r="499" spans="1:6" x14ac:dyDescent="0.2">
      <c r="A499" s="6" t="s">
        <v>295</v>
      </c>
      <c r="B499" s="4">
        <v>291</v>
      </c>
      <c r="C499" s="2" t="s">
        <v>2308</v>
      </c>
      <c r="D499" s="2" t="s">
        <v>5</v>
      </c>
      <c r="E499" s="5" t="s">
        <v>409</v>
      </c>
      <c r="F499" s="2">
        <v>202</v>
      </c>
    </row>
    <row r="500" spans="1:6" x14ac:dyDescent="0.2">
      <c r="A500" s="6" t="s">
        <v>288</v>
      </c>
      <c r="B500" s="4">
        <v>284</v>
      </c>
      <c r="C500" s="2" t="s">
        <v>2308</v>
      </c>
      <c r="D500" s="2" t="s">
        <v>5</v>
      </c>
      <c r="E500" s="5" t="s">
        <v>412</v>
      </c>
      <c r="F500" s="2">
        <v>168</v>
      </c>
    </row>
    <row r="501" spans="1:6" x14ac:dyDescent="0.2">
      <c r="A501" s="6" t="s">
        <v>28</v>
      </c>
      <c r="B501" s="4">
        <v>23</v>
      </c>
      <c r="C501" s="2" t="s">
        <v>2309</v>
      </c>
      <c r="D501" s="2" t="s">
        <v>2</v>
      </c>
      <c r="E501" s="5" t="s">
        <v>411</v>
      </c>
      <c r="F501" s="2">
        <v>213</v>
      </c>
    </row>
    <row r="502" spans="1:6" x14ac:dyDescent="0.2">
      <c r="A502" s="6" t="s">
        <v>134</v>
      </c>
      <c r="B502" s="4">
        <v>129</v>
      </c>
      <c r="C502" s="2" t="s">
        <v>2310</v>
      </c>
      <c r="D502" s="2" t="s">
        <v>3</v>
      </c>
      <c r="E502" s="5" t="s">
        <v>412</v>
      </c>
      <c r="F502" s="2">
        <v>194</v>
      </c>
    </row>
    <row r="503" spans="1:6" x14ac:dyDescent="0.2">
      <c r="A503" s="6" t="s">
        <v>280</v>
      </c>
      <c r="B503" s="4">
        <v>276</v>
      </c>
      <c r="C503" s="2" t="s">
        <v>2308</v>
      </c>
      <c r="D503" s="2" t="s">
        <v>5</v>
      </c>
      <c r="E503" s="5" t="s">
        <v>409</v>
      </c>
      <c r="F503" s="2">
        <v>161</v>
      </c>
    </row>
    <row r="504" spans="1:6" x14ac:dyDescent="0.2">
      <c r="A504" s="6" t="s">
        <v>28</v>
      </c>
      <c r="B504" s="4">
        <v>23</v>
      </c>
      <c r="C504" s="2" t="s">
        <v>2309</v>
      </c>
      <c r="D504" s="2" t="s">
        <v>2</v>
      </c>
      <c r="E504" s="5" t="s">
        <v>410</v>
      </c>
      <c r="F504" s="2">
        <v>168</v>
      </c>
    </row>
    <row r="505" spans="1:6" x14ac:dyDescent="0.2">
      <c r="A505" s="6" t="s">
        <v>293</v>
      </c>
      <c r="B505" s="4">
        <v>289</v>
      </c>
      <c r="C505" s="2" t="s">
        <v>2308</v>
      </c>
      <c r="D505" s="2" t="s">
        <v>5</v>
      </c>
      <c r="E505" s="5" t="s">
        <v>410</v>
      </c>
      <c r="F505" s="2">
        <v>155</v>
      </c>
    </row>
    <row r="506" spans="1:6" x14ac:dyDescent="0.2">
      <c r="A506" s="6" t="s">
        <v>348</v>
      </c>
      <c r="B506" s="4">
        <v>344</v>
      </c>
      <c r="C506" s="2" t="s">
        <v>2307</v>
      </c>
      <c r="D506" s="2" t="s">
        <v>3</v>
      </c>
      <c r="E506" s="5" t="s">
        <v>409</v>
      </c>
      <c r="F506" s="2">
        <v>198</v>
      </c>
    </row>
    <row r="507" spans="1:6" x14ac:dyDescent="0.2">
      <c r="A507" s="6" t="s">
        <v>296</v>
      </c>
      <c r="B507" s="4">
        <v>292</v>
      </c>
      <c r="C507" s="2" t="s">
        <v>2308</v>
      </c>
      <c r="D507" s="2" t="s">
        <v>5</v>
      </c>
      <c r="E507" s="5" t="s">
        <v>410</v>
      </c>
      <c r="F507" s="2">
        <v>167</v>
      </c>
    </row>
    <row r="508" spans="1:6" x14ac:dyDescent="0.2">
      <c r="A508" s="6" t="s">
        <v>348</v>
      </c>
      <c r="B508" s="4">
        <v>344</v>
      </c>
      <c r="C508" s="2" t="s">
        <v>2307</v>
      </c>
      <c r="D508" s="2" t="s">
        <v>3</v>
      </c>
      <c r="E508" s="5" t="s">
        <v>410</v>
      </c>
      <c r="F508" s="2">
        <v>276</v>
      </c>
    </row>
    <row r="509" spans="1:6" x14ac:dyDescent="0.2">
      <c r="A509" s="6" t="s">
        <v>378</v>
      </c>
      <c r="B509" s="4">
        <v>374</v>
      </c>
      <c r="C509" s="2" t="s">
        <v>2307</v>
      </c>
      <c r="D509" s="2" t="s">
        <v>4</v>
      </c>
      <c r="E509" s="5" t="s">
        <v>411</v>
      </c>
      <c r="F509" s="2">
        <v>148</v>
      </c>
    </row>
    <row r="510" spans="1:6" x14ac:dyDescent="0.2">
      <c r="A510" s="6" t="s">
        <v>249</v>
      </c>
      <c r="B510" s="4">
        <v>245</v>
      </c>
      <c r="C510" s="2" t="s">
        <v>2308</v>
      </c>
      <c r="D510" s="2" t="s">
        <v>4</v>
      </c>
      <c r="E510" s="5" t="s">
        <v>410</v>
      </c>
      <c r="F510" s="2">
        <v>219</v>
      </c>
    </row>
    <row r="511" spans="1:6" x14ac:dyDescent="0.2">
      <c r="A511" s="6" t="s">
        <v>86</v>
      </c>
      <c r="B511" s="4">
        <v>81</v>
      </c>
      <c r="C511" s="2" t="s">
        <v>2309</v>
      </c>
      <c r="D511" s="2" t="s">
        <v>5</v>
      </c>
      <c r="E511" s="5" t="s">
        <v>411</v>
      </c>
      <c r="F511" s="2">
        <v>178</v>
      </c>
    </row>
    <row r="512" spans="1:6" x14ac:dyDescent="0.2">
      <c r="A512" s="6" t="s">
        <v>290</v>
      </c>
      <c r="B512" s="4">
        <v>286</v>
      </c>
      <c r="C512" s="2" t="s">
        <v>2308</v>
      </c>
      <c r="D512" s="2" t="s">
        <v>5</v>
      </c>
      <c r="E512" s="5" t="s">
        <v>412</v>
      </c>
      <c r="F512" s="2">
        <v>172</v>
      </c>
    </row>
    <row r="513" spans="1:6" x14ac:dyDescent="0.2">
      <c r="A513" s="6" t="s">
        <v>210</v>
      </c>
      <c r="B513" s="4">
        <v>206</v>
      </c>
      <c r="C513" s="2" t="s">
        <v>2308</v>
      </c>
      <c r="D513" s="2" t="s">
        <v>2</v>
      </c>
      <c r="E513" s="6" t="s">
        <v>408</v>
      </c>
      <c r="F513" s="2">
        <v>243</v>
      </c>
    </row>
    <row r="514" spans="1:6" x14ac:dyDescent="0.2">
      <c r="A514" s="6" t="s">
        <v>24</v>
      </c>
      <c r="B514" s="4">
        <v>19</v>
      </c>
      <c r="C514" s="2" t="s">
        <v>2309</v>
      </c>
      <c r="D514" s="2" t="s">
        <v>2</v>
      </c>
      <c r="E514" s="5" t="s">
        <v>408</v>
      </c>
      <c r="F514" s="2">
        <v>192</v>
      </c>
    </row>
    <row r="515" spans="1:6" x14ac:dyDescent="0.2">
      <c r="A515" s="6" t="s">
        <v>100</v>
      </c>
      <c r="B515" s="4">
        <v>95</v>
      </c>
      <c r="C515" s="2" t="s">
        <v>2309</v>
      </c>
      <c r="D515" s="2" t="s">
        <v>5</v>
      </c>
      <c r="E515" s="5" t="s">
        <v>409</v>
      </c>
      <c r="F515" s="2">
        <v>133</v>
      </c>
    </row>
    <row r="516" spans="1:6" x14ac:dyDescent="0.2">
      <c r="A516" s="6" t="s">
        <v>147</v>
      </c>
      <c r="B516" s="4">
        <v>142</v>
      </c>
      <c r="C516" s="2" t="s">
        <v>2310</v>
      </c>
      <c r="D516" s="2" t="s">
        <v>4</v>
      </c>
      <c r="E516" s="5" t="s">
        <v>411</v>
      </c>
      <c r="F516" s="2">
        <v>151</v>
      </c>
    </row>
    <row r="517" spans="1:6" x14ac:dyDescent="0.2">
      <c r="A517" s="6" t="s">
        <v>20</v>
      </c>
      <c r="B517" s="4">
        <v>15</v>
      </c>
      <c r="C517" s="2" t="s">
        <v>2309</v>
      </c>
      <c r="D517" s="2" t="s">
        <v>2</v>
      </c>
      <c r="E517" s="5" t="s">
        <v>412</v>
      </c>
      <c r="F517" s="2">
        <v>140</v>
      </c>
    </row>
    <row r="518" spans="1:6" x14ac:dyDescent="0.2">
      <c r="A518" s="6" t="s">
        <v>56</v>
      </c>
      <c r="B518" s="4">
        <v>51</v>
      </c>
      <c r="C518" s="2" t="s">
        <v>2309</v>
      </c>
      <c r="D518" s="2" t="s">
        <v>4</v>
      </c>
      <c r="E518" s="5" t="s">
        <v>412</v>
      </c>
      <c r="F518" s="2">
        <v>167</v>
      </c>
    </row>
    <row r="519" spans="1:6" x14ac:dyDescent="0.2">
      <c r="A519" s="6" t="s">
        <v>267</v>
      </c>
      <c r="B519" s="4">
        <v>263</v>
      </c>
      <c r="C519" s="2" t="s">
        <v>2308</v>
      </c>
      <c r="D519" s="2" t="s">
        <v>4</v>
      </c>
      <c r="E519" s="5" t="s">
        <v>410</v>
      </c>
      <c r="F519" s="2">
        <v>156</v>
      </c>
    </row>
    <row r="520" spans="1:6" x14ac:dyDescent="0.2">
      <c r="A520" s="6" t="s">
        <v>334</v>
      </c>
      <c r="B520" s="4">
        <v>330</v>
      </c>
      <c r="C520" s="2" t="s">
        <v>2307</v>
      </c>
      <c r="D520" s="2" t="s">
        <v>3</v>
      </c>
      <c r="E520" s="5" t="s">
        <v>410</v>
      </c>
      <c r="F520" s="2">
        <v>210</v>
      </c>
    </row>
    <row r="521" spans="1:6" x14ac:dyDescent="0.2">
      <c r="A521" s="6" t="s">
        <v>125</v>
      </c>
      <c r="B521" s="4">
        <v>120</v>
      </c>
      <c r="C521" s="2" t="s">
        <v>2310</v>
      </c>
      <c r="D521" s="2" t="s">
        <v>3</v>
      </c>
      <c r="E521" s="7" t="s">
        <v>411</v>
      </c>
      <c r="F521" s="2">
        <v>224</v>
      </c>
    </row>
    <row r="522" spans="1:6" x14ac:dyDescent="0.2">
      <c r="A522" s="6" t="s">
        <v>273</v>
      </c>
      <c r="B522" s="4">
        <v>269</v>
      </c>
      <c r="C522" s="2" t="s">
        <v>2308</v>
      </c>
      <c r="D522" s="2" t="s">
        <v>4</v>
      </c>
      <c r="E522" s="5" t="s">
        <v>410</v>
      </c>
      <c r="F522" s="2">
        <v>159</v>
      </c>
    </row>
    <row r="523" spans="1:6" x14ac:dyDescent="0.2">
      <c r="A523" s="6" t="s">
        <v>150</v>
      </c>
      <c r="B523" s="4">
        <v>145</v>
      </c>
      <c r="C523" s="2" t="s">
        <v>2310</v>
      </c>
      <c r="D523" s="2" t="s">
        <v>4</v>
      </c>
      <c r="E523" s="6" t="s">
        <v>408</v>
      </c>
      <c r="F523" s="2">
        <v>245</v>
      </c>
    </row>
    <row r="524" spans="1:6" x14ac:dyDescent="0.2">
      <c r="A524" s="6" t="s">
        <v>178</v>
      </c>
      <c r="B524" s="4">
        <v>173</v>
      </c>
      <c r="C524" s="2" t="s">
        <v>2310</v>
      </c>
      <c r="D524" s="2" t="s">
        <v>5</v>
      </c>
      <c r="E524" s="5" t="s">
        <v>411</v>
      </c>
      <c r="F524" s="2">
        <v>243</v>
      </c>
    </row>
    <row r="525" spans="1:6" x14ac:dyDescent="0.2">
      <c r="A525" s="6" t="s">
        <v>24</v>
      </c>
      <c r="B525" s="4">
        <v>19</v>
      </c>
      <c r="C525" s="2" t="s">
        <v>2309</v>
      </c>
      <c r="D525" s="2" t="s">
        <v>2</v>
      </c>
      <c r="E525" s="5" t="s">
        <v>411</v>
      </c>
      <c r="F525" s="2">
        <v>239</v>
      </c>
    </row>
    <row r="526" spans="1:6" x14ac:dyDescent="0.2">
      <c r="A526" s="6" t="s">
        <v>388</v>
      </c>
      <c r="B526" s="4">
        <v>384</v>
      </c>
      <c r="C526" s="2" t="s">
        <v>2307</v>
      </c>
      <c r="D526" s="2" t="s">
        <v>5</v>
      </c>
      <c r="E526" s="5" t="s">
        <v>412</v>
      </c>
      <c r="F526" s="2">
        <v>267</v>
      </c>
    </row>
    <row r="527" spans="1:6" x14ac:dyDescent="0.2">
      <c r="A527" s="6" t="s">
        <v>36</v>
      </c>
      <c r="B527" s="4">
        <v>31</v>
      </c>
      <c r="C527" s="2" t="s">
        <v>2309</v>
      </c>
      <c r="D527" s="2" t="s">
        <v>3</v>
      </c>
      <c r="E527" s="5" t="s">
        <v>408</v>
      </c>
      <c r="F527" s="2">
        <v>120</v>
      </c>
    </row>
    <row r="528" spans="1:6" x14ac:dyDescent="0.2">
      <c r="A528" s="6" t="s">
        <v>357</v>
      </c>
      <c r="B528" s="4">
        <v>353</v>
      </c>
      <c r="C528" s="2" t="s">
        <v>2307</v>
      </c>
      <c r="D528" s="2" t="s">
        <v>4</v>
      </c>
      <c r="E528" s="5" t="s">
        <v>411</v>
      </c>
      <c r="F528" s="2">
        <v>162</v>
      </c>
    </row>
    <row r="529" spans="1:6" x14ac:dyDescent="0.2">
      <c r="A529" s="6" t="s">
        <v>254</v>
      </c>
      <c r="B529" s="4">
        <v>250</v>
      </c>
      <c r="C529" s="2" t="s">
        <v>2308</v>
      </c>
      <c r="D529" s="2" t="s">
        <v>4</v>
      </c>
      <c r="E529" s="7" t="s">
        <v>409</v>
      </c>
      <c r="F529" s="2">
        <v>225</v>
      </c>
    </row>
    <row r="530" spans="1:6" x14ac:dyDescent="0.2">
      <c r="A530" s="6" t="s">
        <v>86</v>
      </c>
      <c r="B530" s="4">
        <v>81</v>
      </c>
      <c r="C530" s="2" t="s">
        <v>2309</v>
      </c>
      <c r="D530" s="2" t="s">
        <v>5</v>
      </c>
      <c r="E530" s="5" t="s">
        <v>409</v>
      </c>
      <c r="F530" s="2">
        <v>261</v>
      </c>
    </row>
    <row r="531" spans="1:6" x14ac:dyDescent="0.2">
      <c r="A531" s="6" t="s">
        <v>340</v>
      </c>
      <c r="B531" s="4">
        <v>336</v>
      </c>
      <c r="C531" s="2" t="s">
        <v>2307</v>
      </c>
      <c r="D531" s="2" t="s">
        <v>3</v>
      </c>
      <c r="E531" s="5" t="s">
        <v>409</v>
      </c>
      <c r="F531" s="2">
        <v>216</v>
      </c>
    </row>
    <row r="532" spans="1:6" x14ac:dyDescent="0.2">
      <c r="A532" s="6" t="s">
        <v>139</v>
      </c>
      <c r="B532" s="4">
        <v>134</v>
      </c>
      <c r="C532" s="2" t="s">
        <v>2310</v>
      </c>
      <c r="D532" s="2" t="s">
        <v>3</v>
      </c>
      <c r="E532" s="7" t="s">
        <v>411</v>
      </c>
      <c r="F532" s="2">
        <v>217</v>
      </c>
    </row>
    <row r="533" spans="1:6" x14ac:dyDescent="0.2">
      <c r="A533" s="6" t="s">
        <v>76</v>
      </c>
      <c r="B533" s="4">
        <v>71</v>
      </c>
      <c r="C533" s="2" t="s">
        <v>2309</v>
      </c>
      <c r="D533" s="2" t="s">
        <v>4</v>
      </c>
      <c r="E533" s="5" t="s">
        <v>408</v>
      </c>
      <c r="F533" s="2">
        <v>299</v>
      </c>
    </row>
    <row r="534" spans="1:6" x14ac:dyDescent="0.2">
      <c r="A534" s="6" t="s">
        <v>255</v>
      </c>
      <c r="B534" s="4">
        <v>251</v>
      </c>
      <c r="C534" s="2" t="s">
        <v>2308</v>
      </c>
      <c r="D534" s="2" t="s">
        <v>4</v>
      </c>
      <c r="E534" s="5" t="s">
        <v>410</v>
      </c>
      <c r="F534" s="2">
        <v>213</v>
      </c>
    </row>
    <row r="535" spans="1:6" x14ac:dyDescent="0.2">
      <c r="A535" s="6" t="s">
        <v>26</v>
      </c>
      <c r="B535" s="4">
        <v>21</v>
      </c>
      <c r="C535" s="2" t="s">
        <v>2309</v>
      </c>
      <c r="D535" s="2" t="s">
        <v>2</v>
      </c>
      <c r="E535" s="5" t="s">
        <v>408</v>
      </c>
      <c r="F535" s="2">
        <v>183</v>
      </c>
    </row>
    <row r="536" spans="1:6" x14ac:dyDescent="0.2">
      <c r="A536" s="6" t="s">
        <v>369</v>
      </c>
      <c r="B536" s="4">
        <v>365</v>
      </c>
      <c r="C536" s="2" t="s">
        <v>2307</v>
      </c>
      <c r="D536" s="2" t="s">
        <v>4</v>
      </c>
      <c r="E536" s="5" t="s">
        <v>410</v>
      </c>
      <c r="F536" s="2">
        <v>160</v>
      </c>
    </row>
    <row r="537" spans="1:6" x14ac:dyDescent="0.2">
      <c r="A537" s="6" t="s">
        <v>107</v>
      </c>
      <c r="B537" s="4">
        <v>102</v>
      </c>
      <c r="C537" s="2" t="s">
        <v>2310</v>
      </c>
      <c r="D537" s="2" t="s">
        <v>2</v>
      </c>
      <c r="E537" s="5" t="s">
        <v>408</v>
      </c>
      <c r="F537" s="2">
        <v>272</v>
      </c>
    </row>
    <row r="538" spans="1:6" x14ac:dyDescent="0.2">
      <c r="A538" s="6" t="s">
        <v>161</v>
      </c>
      <c r="B538" s="4">
        <v>156</v>
      </c>
      <c r="C538" s="2" t="s">
        <v>2310</v>
      </c>
      <c r="D538" s="2" t="s">
        <v>4</v>
      </c>
      <c r="E538" s="6" t="s">
        <v>408</v>
      </c>
      <c r="F538" s="2">
        <v>297</v>
      </c>
    </row>
    <row r="539" spans="1:6" x14ac:dyDescent="0.2">
      <c r="A539" s="6" t="s">
        <v>260</v>
      </c>
      <c r="B539" s="4">
        <v>256</v>
      </c>
      <c r="C539" s="2" t="s">
        <v>2308</v>
      </c>
      <c r="D539" s="2" t="s">
        <v>4</v>
      </c>
      <c r="E539" s="7" t="s">
        <v>409</v>
      </c>
      <c r="F539" s="2">
        <v>241</v>
      </c>
    </row>
    <row r="540" spans="1:6" x14ac:dyDescent="0.2">
      <c r="A540" s="6" t="s">
        <v>349</v>
      </c>
      <c r="B540" s="4">
        <v>345</v>
      </c>
      <c r="C540" s="2" t="s">
        <v>2307</v>
      </c>
      <c r="D540" s="2" t="s">
        <v>3</v>
      </c>
      <c r="E540" s="5" t="s">
        <v>408</v>
      </c>
      <c r="F540" s="2">
        <v>163</v>
      </c>
    </row>
    <row r="541" spans="1:6" x14ac:dyDescent="0.2">
      <c r="A541" s="6" t="s">
        <v>226</v>
      </c>
      <c r="B541" s="4">
        <v>222</v>
      </c>
      <c r="C541" s="2" t="s">
        <v>2308</v>
      </c>
      <c r="D541" s="2" t="s">
        <v>3</v>
      </c>
      <c r="E541" s="7" t="s">
        <v>409</v>
      </c>
      <c r="F541" s="2">
        <v>259</v>
      </c>
    </row>
    <row r="542" spans="1:6" x14ac:dyDescent="0.2">
      <c r="A542" s="6" t="s">
        <v>8</v>
      </c>
      <c r="B542" s="4">
        <v>3</v>
      </c>
      <c r="C542" s="2" t="s">
        <v>2309</v>
      </c>
      <c r="D542" s="2" t="s">
        <v>2</v>
      </c>
      <c r="E542" s="5" t="s">
        <v>410</v>
      </c>
      <c r="F542" s="2">
        <v>231</v>
      </c>
    </row>
    <row r="543" spans="1:6" x14ac:dyDescent="0.2">
      <c r="A543" s="6" t="s">
        <v>7</v>
      </c>
      <c r="B543" s="4">
        <v>2</v>
      </c>
      <c r="C543" s="2" t="s">
        <v>2309</v>
      </c>
      <c r="D543" s="2" t="s">
        <v>2</v>
      </c>
      <c r="E543" s="5" t="s">
        <v>411</v>
      </c>
      <c r="F543" s="2">
        <v>234</v>
      </c>
    </row>
    <row r="544" spans="1:6" x14ac:dyDescent="0.2">
      <c r="A544" s="6" t="s">
        <v>114</v>
      </c>
      <c r="B544" s="4">
        <v>109</v>
      </c>
      <c r="C544" s="2" t="s">
        <v>2310</v>
      </c>
      <c r="D544" s="2" t="s">
        <v>2</v>
      </c>
      <c r="E544" s="5" t="s">
        <v>410</v>
      </c>
      <c r="F544" s="2">
        <v>295</v>
      </c>
    </row>
    <row r="545" spans="1:6" x14ac:dyDescent="0.2">
      <c r="A545" s="6" t="s">
        <v>154</v>
      </c>
      <c r="B545" s="4">
        <v>149</v>
      </c>
      <c r="C545" s="2" t="s">
        <v>2310</v>
      </c>
      <c r="D545" s="2" t="s">
        <v>4</v>
      </c>
      <c r="E545" s="7" t="s">
        <v>409</v>
      </c>
      <c r="F545" s="2">
        <v>257</v>
      </c>
    </row>
    <row r="546" spans="1:6" x14ac:dyDescent="0.2">
      <c r="A546" s="6" t="s">
        <v>206</v>
      </c>
      <c r="B546" s="4">
        <v>202</v>
      </c>
      <c r="C546" s="2" t="s">
        <v>2308</v>
      </c>
      <c r="D546" s="2" t="s">
        <v>2</v>
      </c>
      <c r="E546" s="5" t="s">
        <v>409</v>
      </c>
      <c r="F546" s="2">
        <v>267</v>
      </c>
    </row>
    <row r="547" spans="1:6" x14ac:dyDescent="0.2">
      <c r="A547" s="6" t="s">
        <v>228</v>
      </c>
      <c r="B547" s="4">
        <v>224</v>
      </c>
      <c r="C547" s="2" t="s">
        <v>2308</v>
      </c>
      <c r="D547" s="2" t="s">
        <v>3</v>
      </c>
      <c r="E547" s="5" t="s">
        <v>412</v>
      </c>
      <c r="F547" s="2">
        <v>123</v>
      </c>
    </row>
    <row r="548" spans="1:6" x14ac:dyDescent="0.2">
      <c r="A548" s="6" t="s">
        <v>181</v>
      </c>
      <c r="B548" s="4">
        <v>176</v>
      </c>
      <c r="C548" s="2" t="s">
        <v>2310</v>
      </c>
      <c r="D548" s="2" t="s">
        <v>5</v>
      </c>
      <c r="E548" s="6" t="s">
        <v>408</v>
      </c>
      <c r="F548" s="2">
        <v>162</v>
      </c>
    </row>
    <row r="549" spans="1:6" x14ac:dyDescent="0.2">
      <c r="A549" s="6" t="s">
        <v>312</v>
      </c>
      <c r="B549" s="4">
        <v>308</v>
      </c>
      <c r="C549" s="2" t="s">
        <v>2307</v>
      </c>
      <c r="D549" s="2" t="s">
        <v>2</v>
      </c>
      <c r="E549" s="5" t="s">
        <v>412</v>
      </c>
      <c r="F549" s="2">
        <v>188</v>
      </c>
    </row>
    <row r="550" spans="1:6" x14ac:dyDescent="0.2">
      <c r="A550" s="6" t="s">
        <v>56</v>
      </c>
      <c r="B550" s="4">
        <v>51</v>
      </c>
      <c r="C550" s="2" t="s">
        <v>2309</v>
      </c>
      <c r="D550" s="2" t="s">
        <v>4</v>
      </c>
      <c r="E550" s="5" t="s">
        <v>409</v>
      </c>
      <c r="F550" s="2">
        <v>254</v>
      </c>
    </row>
    <row r="551" spans="1:6" x14ac:dyDescent="0.2">
      <c r="A551" s="6" t="s">
        <v>23</v>
      </c>
      <c r="B551" s="4">
        <v>18</v>
      </c>
      <c r="C551" s="2" t="s">
        <v>2309</v>
      </c>
      <c r="D551" s="2" t="s">
        <v>2</v>
      </c>
      <c r="E551" s="5" t="s">
        <v>408</v>
      </c>
      <c r="F551" s="2">
        <v>238</v>
      </c>
    </row>
    <row r="552" spans="1:6" x14ac:dyDescent="0.2">
      <c r="A552" s="6" t="s">
        <v>254</v>
      </c>
      <c r="B552" s="4">
        <v>250</v>
      </c>
      <c r="C552" s="2" t="s">
        <v>2308</v>
      </c>
      <c r="D552" s="2" t="s">
        <v>4</v>
      </c>
      <c r="E552" s="6" t="s">
        <v>408</v>
      </c>
      <c r="F552" s="2">
        <v>232</v>
      </c>
    </row>
    <row r="553" spans="1:6" x14ac:dyDescent="0.2">
      <c r="A553" s="6" t="s">
        <v>318</v>
      </c>
      <c r="B553" s="4">
        <v>314</v>
      </c>
      <c r="C553" s="2" t="s">
        <v>2307</v>
      </c>
      <c r="D553" s="2" t="s">
        <v>2</v>
      </c>
      <c r="E553" s="5" t="s">
        <v>412</v>
      </c>
      <c r="F553" s="2">
        <v>168</v>
      </c>
    </row>
    <row r="554" spans="1:6" x14ac:dyDescent="0.2">
      <c r="A554" s="6" t="s">
        <v>143</v>
      </c>
      <c r="B554" s="4">
        <v>138</v>
      </c>
      <c r="C554" s="2" t="s">
        <v>2310</v>
      </c>
      <c r="D554" s="2" t="s">
        <v>3</v>
      </c>
      <c r="E554" s="6" t="s">
        <v>408</v>
      </c>
      <c r="F554" s="2">
        <v>277</v>
      </c>
    </row>
    <row r="555" spans="1:6" x14ac:dyDescent="0.2">
      <c r="A555" s="6" t="s">
        <v>138</v>
      </c>
      <c r="B555" s="4">
        <v>133</v>
      </c>
      <c r="C555" s="2" t="s">
        <v>2310</v>
      </c>
      <c r="D555" s="2" t="s">
        <v>3</v>
      </c>
      <c r="E555" s="7" t="s">
        <v>410</v>
      </c>
      <c r="F555" s="2">
        <v>141</v>
      </c>
    </row>
    <row r="556" spans="1:6" x14ac:dyDescent="0.2">
      <c r="A556" s="6" t="s">
        <v>29</v>
      </c>
      <c r="B556" s="4">
        <v>24</v>
      </c>
      <c r="C556" s="2" t="s">
        <v>2309</v>
      </c>
      <c r="D556" s="2" t="s">
        <v>2</v>
      </c>
      <c r="E556" s="5" t="s">
        <v>408</v>
      </c>
      <c r="F556" s="2">
        <v>226</v>
      </c>
    </row>
    <row r="557" spans="1:6" x14ac:dyDescent="0.2">
      <c r="A557" s="6" t="s">
        <v>385</v>
      </c>
      <c r="B557" s="4">
        <v>381</v>
      </c>
      <c r="C557" s="2" t="s">
        <v>2307</v>
      </c>
      <c r="D557" s="2" t="s">
        <v>5</v>
      </c>
      <c r="E557" s="5" t="s">
        <v>409</v>
      </c>
      <c r="F557" s="2">
        <v>195</v>
      </c>
    </row>
    <row r="558" spans="1:6" x14ac:dyDescent="0.2">
      <c r="A558" s="6" t="s">
        <v>335</v>
      </c>
      <c r="B558" s="4">
        <v>331</v>
      </c>
      <c r="C558" s="2" t="s">
        <v>2307</v>
      </c>
      <c r="D558" s="2" t="s">
        <v>3</v>
      </c>
      <c r="E558" s="5" t="s">
        <v>410</v>
      </c>
      <c r="F558" s="2">
        <v>278</v>
      </c>
    </row>
    <row r="559" spans="1:6" x14ac:dyDescent="0.2">
      <c r="A559" s="6" t="s">
        <v>149</v>
      </c>
      <c r="B559" s="4">
        <v>144</v>
      </c>
      <c r="C559" s="2" t="s">
        <v>2310</v>
      </c>
      <c r="D559" s="2" t="s">
        <v>4</v>
      </c>
      <c r="E559" s="7" t="s">
        <v>409</v>
      </c>
      <c r="F559" s="2">
        <v>187</v>
      </c>
    </row>
    <row r="560" spans="1:6" x14ac:dyDescent="0.2">
      <c r="A560" s="6" t="s">
        <v>10</v>
      </c>
      <c r="B560" s="4">
        <v>5</v>
      </c>
      <c r="C560" s="2" t="s">
        <v>2309</v>
      </c>
      <c r="D560" s="2" t="s">
        <v>2</v>
      </c>
      <c r="E560" s="5" t="s">
        <v>410</v>
      </c>
      <c r="F560" s="2">
        <v>269</v>
      </c>
    </row>
    <row r="561" spans="1:6" x14ac:dyDescent="0.2">
      <c r="A561" s="6" t="s">
        <v>223</v>
      </c>
      <c r="B561" s="4">
        <v>219</v>
      </c>
      <c r="C561" s="2" t="s">
        <v>2308</v>
      </c>
      <c r="D561" s="2" t="s">
        <v>3</v>
      </c>
      <c r="E561" s="7" t="s">
        <v>409</v>
      </c>
      <c r="F561" s="2">
        <v>194</v>
      </c>
    </row>
    <row r="562" spans="1:6" x14ac:dyDescent="0.2">
      <c r="A562" s="6" t="s">
        <v>78</v>
      </c>
      <c r="B562" s="4">
        <v>73</v>
      </c>
      <c r="C562" s="2" t="s">
        <v>2309</v>
      </c>
      <c r="D562" s="2" t="s">
        <v>4</v>
      </c>
      <c r="E562" s="5" t="s">
        <v>408</v>
      </c>
      <c r="F562" s="2">
        <v>288</v>
      </c>
    </row>
    <row r="563" spans="1:6" x14ac:dyDescent="0.2">
      <c r="A563" s="6" t="s">
        <v>7</v>
      </c>
      <c r="B563" s="4">
        <v>2</v>
      </c>
      <c r="C563" s="2" t="s">
        <v>2309</v>
      </c>
      <c r="D563" s="2" t="s">
        <v>2</v>
      </c>
      <c r="E563" s="5" t="s">
        <v>408</v>
      </c>
      <c r="F563" s="2">
        <v>252</v>
      </c>
    </row>
    <row r="564" spans="1:6" x14ac:dyDescent="0.2">
      <c r="A564" s="6" t="s">
        <v>323</v>
      </c>
      <c r="B564" s="4">
        <v>319</v>
      </c>
      <c r="C564" s="2" t="s">
        <v>2307</v>
      </c>
      <c r="D564" s="2" t="s">
        <v>2</v>
      </c>
      <c r="E564" s="5" t="s">
        <v>411</v>
      </c>
      <c r="F564" s="2">
        <v>249</v>
      </c>
    </row>
    <row r="565" spans="1:6" x14ac:dyDescent="0.2">
      <c r="A565" s="6" t="s">
        <v>208</v>
      </c>
      <c r="B565" s="4">
        <v>204</v>
      </c>
      <c r="C565" s="2" t="s">
        <v>2308</v>
      </c>
      <c r="D565" s="2" t="s">
        <v>2</v>
      </c>
      <c r="E565" s="5" t="s">
        <v>411</v>
      </c>
      <c r="F565" s="2">
        <v>265</v>
      </c>
    </row>
    <row r="566" spans="1:6" x14ac:dyDescent="0.2">
      <c r="A566" s="6" t="s">
        <v>216</v>
      </c>
      <c r="B566" s="4">
        <v>212</v>
      </c>
      <c r="C566" s="2" t="s">
        <v>2308</v>
      </c>
      <c r="D566" s="2" t="s">
        <v>2</v>
      </c>
      <c r="E566" s="5" t="s">
        <v>412</v>
      </c>
      <c r="F566" s="2">
        <v>217</v>
      </c>
    </row>
    <row r="567" spans="1:6" x14ac:dyDescent="0.2">
      <c r="A567" s="6" t="s">
        <v>396</v>
      </c>
      <c r="B567" s="4">
        <v>392</v>
      </c>
      <c r="C567" s="2" t="s">
        <v>2307</v>
      </c>
      <c r="D567" s="2" t="s">
        <v>5</v>
      </c>
      <c r="E567" s="5" t="s">
        <v>412</v>
      </c>
      <c r="F567" s="2">
        <v>144</v>
      </c>
    </row>
    <row r="568" spans="1:6" x14ac:dyDescent="0.2">
      <c r="A568" s="6" t="s">
        <v>354</v>
      </c>
      <c r="B568" s="4">
        <v>350</v>
      </c>
      <c r="C568" s="2" t="s">
        <v>2307</v>
      </c>
      <c r="D568" s="2" t="s">
        <v>3</v>
      </c>
      <c r="E568" s="5" t="s">
        <v>408</v>
      </c>
      <c r="F568" s="2">
        <v>216</v>
      </c>
    </row>
    <row r="569" spans="1:6" x14ac:dyDescent="0.2">
      <c r="A569" s="6" t="s">
        <v>404</v>
      </c>
      <c r="B569" s="4">
        <v>400</v>
      </c>
      <c r="C569" s="2" t="s">
        <v>2307</v>
      </c>
      <c r="D569" s="2" t="s">
        <v>5</v>
      </c>
      <c r="E569" s="5" t="s">
        <v>408</v>
      </c>
      <c r="F569" s="2">
        <v>269</v>
      </c>
    </row>
    <row r="570" spans="1:6" x14ac:dyDescent="0.2">
      <c r="A570" s="6" t="s">
        <v>254</v>
      </c>
      <c r="B570" s="4">
        <v>250</v>
      </c>
      <c r="C570" s="2" t="s">
        <v>2308</v>
      </c>
      <c r="D570" s="2" t="s">
        <v>4</v>
      </c>
      <c r="E570" s="5" t="s">
        <v>411</v>
      </c>
      <c r="F570" s="2">
        <v>269</v>
      </c>
    </row>
    <row r="571" spans="1:6" x14ac:dyDescent="0.2">
      <c r="A571" s="6" t="s">
        <v>225</v>
      </c>
      <c r="B571" s="4">
        <v>221</v>
      </c>
      <c r="C571" s="2" t="s">
        <v>2308</v>
      </c>
      <c r="D571" s="2" t="s">
        <v>3</v>
      </c>
      <c r="E571" s="5" t="s">
        <v>412</v>
      </c>
      <c r="F571" s="2">
        <v>214</v>
      </c>
    </row>
    <row r="572" spans="1:6" x14ac:dyDescent="0.2">
      <c r="A572" s="6" t="s">
        <v>253</v>
      </c>
      <c r="B572" s="4">
        <v>249</v>
      </c>
      <c r="C572" s="2" t="s">
        <v>2308</v>
      </c>
      <c r="D572" s="2" t="s">
        <v>4</v>
      </c>
      <c r="E572" s="6" t="s">
        <v>408</v>
      </c>
      <c r="F572" s="2">
        <v>212</v>
      </c>
    </row>
    <row r="573" spans="1:6" x14ac:dyDescent="0.2">
      <c r="A573" s="6" t="s">
        <v>16</v>
      </c>
      <c r="B573" s="4">
        <v>11</v>
      </c>
      <c r="C573" s="2" t="s">
        <v>2309</v>
      </c>
      <c r="D573" s="2" t="s">
        <v>2</v>
      </c>
      <c r="E573" s="5" t="s">
        <v>408</v>
      </c>
      <c r="F573" s="2">
        <v>248</v>
      </c>
    </row>
    <row r="574" spans="1:6" x14ac:dyDescent="0.2">
      <c r="A574" s="6" t="s">
        <v>284</v>
      </c>
      <c r="B574" s="4">
        <v>280</v>
      </c>
      <c r="C574" s="2" t="s">
        <v>2308</v>
      </c>
      <c r="D574" s="2" t="s">
        <v>5</v>
      </c>
      <c r="E574" s="5" t="s">
        <v>412</v>
      </c>
      <c r="F574" s="2">
        <v>289</v>
      </c>
    </row>
    <row r="575" spans="1:6" x14ac:dyDescent="0.2">
      <c r="A575" s="6" t="s">
        <v>36</v>
      </c>
      <c r="B575" s="4">
        <v>31</v>
      </c>
      <c r="C575" s="2" t="s">
        <v>2309</v>
      </c>
      <c r="D575" s="2" t="s">
        <v>3</v>
      </c>
      <c r="E575" s="5" t="s">
        <v>409</v>
      </c>
      <c r="F575" s="2">
        <v>179</v>
      </c>
    </row>
    <row r="576" spans="1:6" x14ac:dyDescent="0.2">
      <c r="A576" s="6" t="s">
        <v>244</v>
      </c>
      <c r="B576" s="4">
        <v>240</v>
      </c>
      <c r="C576" s="2" t="s">
        <v>2308</v>
      </c>
      <c r="D576" s="2" t="s">
        <v>3</v>
      </c>
      <c r="E576" s="6" t="s">
        <v>408</v>
      </c>
      <c r="F576" s="2">
        <v>172</v>
      </c>
    </row>
    <row r="577" spans="1:6" x14ac:dyDescent="0.2">
      <c r="A577" s="6" t="s">
        <v>355</v>
      </c>
      <c r="B577" s="4">
        <v>351</v>
      </c>
      <c r="C577" s="2" t="s">
        <v>2307</v>
      </c>
      <c r="D577" s="2" t="s">
        <v>3</v>
      </c>
      <c r="E577" s="5" t="s">
        <v>411</v>
      </c>
      <c r="F577" s="2">
        <v>243</v>
      </c>
    </row>
    <row r="578" spans="1:6" x14ac:dyDescent="0.2">
      <c r="A578" s="6" t="s">
        <v>359</v>
      </c>
      <c r="B578" s="4">
        <v>355</v>
      </c>
      <c r="C578" s="2" t="s">
        <v>2307</v>
      </c>
      <c r="D578" s="2" t="s">
        <v>4</v>
      </c>
      <c r="E578" s="5" t="s">
        <v>410</v>
      </c>
      <c r="F578" s="2">
        <v>298</v>
      </c>
    </row>
    <row r="579" spans="1:6" x14ac:dyDescent="0.2">
      <c r="A579" s="6" t="s">
        <v>403</v>
      </c>
      <c r="B579" s="4">
        <v>399</v>
      </c>
      <c r="C579" s="2" t="s">
        <v>2307</v>
      </c>
      <c r="D579" s="2" t="s">
        <v>5</v>
      </c>
      <c r="E579" s="5" t="s">
        <v>408</v>
      </c>
      <c r="F579" s="2">
        <v>247</v>
      </c>
    </row>
    <row r="580" spans="1:6" x14ac:dyDescent="0.2">
      <c r="A580" s="6" t="s">
        <v>335</v>
      </c>
      <c r="B580" s="4">
        <v>331</v>
      </c>
      <c r="C580" s="2" t="s">
        <v>2307</v>
      </c>
      <c r="D580" s="2" t="s">
        <v>3</v>
      </c>
      <c r="E580" s="5" t="s">
        <v>411</v>
      </c>
      <c r="F580" s="2">
        <v>241</v>
      </c>
    </row>
    <row r="581" spans="1:6" x14ac:dyDescent="0.2">
      <c r="A581" s="6" t="s">
        <v>196</v>
      </c>
      <c r="B581" s="4">
        <v>192</v>
      </c>
      <c r="C581" s="2" t="s">
        <v>2310</v>
      </c>
      <c r="D581" s="2" t="s">
        <v>5</v>
      </c>
      <c r="E581" s="6" t="s">
        <v>408</v>
      </c>
      <c r="F581" s="2">
        <v>142</v>
      </c>
    </row>
    <row r="582" spans="1:6" x14ac:dyDescent="0.2">
      <c r="A582" s="6" t="s">
        <v>233</v>
      </c>
      <c r="B582" s="4">
        <v>229</v>
      </c>
      <c r="C582" s="2" t="s">
        <v>2308</v>
      </c>
      <c r="D582" s="2" t="s">
        <v>3</v>
      </c>
      <c r="E582" s="7" t="s">
        <v>410</v>
      </c>
      <c r="F582" s="2">
        <v>196</v>
      </c>
    </row>
    <row r="583" spans="1:6" x14ac:dyDescent="0.2">
      <c r="A583" s="6" t="s">
        <v>155</v>
      </c>
      <c r="B583" s="4">
        <v>150</v>
      </c>
      <c r="C583" s="2" t="s">
        <v>2310</v>
      </c>
      <c r="D583" s="2" t="s">
        <v>4</v>
      </c>
      <c r="E583" s="5" t="s">
        <v>410</v>
      </c>
      <c r="F583" s="2">
        <v>130</v>
      </c>
    </row>
    <row r="584" spans="1:6" x14ac:dyDescent="0.2">
      <c r="A584" s="6" t="s">
        <v>74</v>
      </c>
      <c r="B584" s="4">
        <v>69</v>
      </c>
      <c r="C584" s="2" t="s">
        <v>2309</v>
      </c>
      <c r="D584" s="2" t="s">
        <v>4</v>
      </c>
      <c r="E584" s="5" t="s">
        <v>412</v>
      </c>
      <c r="F584" s="2">
        <v>192</v>
      </c>
    </row>
    <row r="585" spans="1:6" x14ac:dyDescent="0.2">
      <c r="A585" s="6" t="s">
        <v>268</v>
      </c>
      <c r="B585" s="4">
        <v>264</v>
      </c>
      <c r="C585" s="2" t="s">
        <v>2308</v>
      </c>
      <c r="D585" s="2" t="s">
        <v>4</v>
      </c>
      <c r="E585" s="6" t="s">
        <v>408</v>
      </c>
      <c r="F585" s="2">
        <v>149</v>
      </c>
    </row>
    <row r="586" spans="1:6" x14ac:dyDescent="0.2">
      <c r="A586" s="6" t="s">
        <v>35</v>
      </c>
      <c r="B586" s="4">
        <v>30</v>
      </c>
      <c r="C586" s="2" t="s">
        <v>2309</v>
      </c>
      <c r="D586" s="2" t="s">
        <v>3</v>
      </c>
      <c r="E586" s="5" t="s">
        <v>409</v>
      </c>
      <c r="F586" s="2">
        <v>183</v>
      </c>
    </row>
    <row r="587" spans="1:6" x14ac:dyDescent="0.2">
      <c r="A587" s="6" t="s">
        <v>286</v>
      </c>
      <c r="B587" s="4">
        <v>282</v>
      </c>
      <c r="C587" s="2" t="s">
        <v>2308</v>
      </c>
      <c r="D587" s="2" t="s">
        <v>5</v>
      </c>
      <c r="E587" s="5" t="s">
        <v>412</v>
      </c>
      <c r="F587" s="2">
        <v>161</v>
      </c>
    </row>
    <row r="588" spans="1:6" x14ac:dyDescent="0.2">
      <c r="A588" s="6" t="s">
        <v>298</v>
      </c>
      <c r="B588" s="4">
        <v>294</v>
      </c>
      <c r="C588" s="2" t="s">
        <v>2308</v>
      </c>
      <c r="D588" s="2" t="s">
        <v>5</v>
      </c>
      <c r="E588" s="6" t="s">
        <v>408</v>
      </c>
      <c r="F588" s="2">
        <v>134</v>
      </c>
    </row>
    <row r="589" spans="1:6" x14ac:dyDescent="0.2">
      <c r="A589" s="6" t="s">
        <v>194</v>
      </c>
      <c r="B589" s="4">
        <v>190</v>
      </c>
      <c r="C589" s="2" t="s">
        <v>2310</v>
      </c>
      <c r="D589" s="2" t="s">
        <v>5</v>
      </c>
      <c r="E589" s="7" t="s">
        <v>410</v>
      </c>
      <c r="F589" s="2">
        <v>283</v>
      </c>
    </row>
    <row r="590" spans="1:6" x14ac:dyDescent="0.2">
      <c r="A590" s="6" t="s">
        <v>250</v>
      </c>
      <c r="B590" s="4">
        <v>246</v>
      </c>
      <c r="C590" s="2" t="s">
        <v>2308</v>
      </c>
      <c r="D590" s="2" t="s">
        <v>4</v>
      </c>
      <c r="E590" s="7" t="s">
        <v>409</v>
      </c>
      <c r="F590" s="2">
        <v>219</v>
      </c>
    </row>
    <row r="591" spans="1:6" x14ac:dyDescent="0.2">
      <c r="A591" s="6" t="s">
        <v>134</v>
      </c>
      <c r="B591" s="4">
        <v>129</v>
      </c>
      <c r="C591" s="2" t="s">
        <v>2310</v>
      </c>
      <c r="D591" s="2" t="s">
        <v>3</v>
      </c>
      <c r="E591" s="7" t="s">
        <v>410</v>
      </c>
      <c r="F591" s="2">
        <v>133</v>
      </c>
    </row>
    <row r="592" spans="1:6" x14ac:dyDescent="0.2">
      <c r="A592" s="6" t="s">
        <v>395</v>
      </c>
      <c r="B592" s="4">
        <v>391</v>
      </c>
      <c r="C592" s="2" t="s">
        <v>2307</v>
      </c>
      <c r="D592" s="2" t="s">
        <v>5</v>
      </c>
      <c r="E592" s="5" t="s">
        <v>409</v>
      </c>
      <c r="F592" s="2">
        <v>166</v>
      </c>
    </row>
    <row r="593" spans="1:6" x14ac:dyDescent="0.2">
      <c r="A593" s="6" t="s">
        <v>388</v>
      </c>
      <c r="B593" s="4">
        <v>384</v>
      </c>
      <c r="C593" s="2" t="s">
        <v>2307</v>
      </c>
      <c r="D593" s="2" t="s">
        <v>5</v>
      </c>
      <c r="E593" s="5" t="s">
        <v>409</v>
      </c>
      <c r="F593" s="2">
        <v>234</v>
      </c>
    </row>
    <row r="594" spans="1:6" x14ac:dyDescent="0.2">
      <c r="A594" s="6" t="s">
        <v>216</v>
      </c>
      <c r="B594" s="4">
        <v>212</v>
      </c>
      <c r="C594" s="2" t="s">
        <v>2308</v>
      </c>
      <c r="D594" s="2" t="s">
        <v>2</v>
      </c>
      <c r="E594" s="5" t="s">
        <v>409</v>
      </c>
      <c r="F594" s="2">
        <v>223</v>
      </c>
    </row>
    <row r="595" spans="1:6" x14ac:dyDescent="0.2">
      <c r="A595" s="6" t="s">
        <v>177</v>
      </c>
      <c r="B595" s="4">
        <v>172</v>
      </c>
      <c r="C595" s="2" t="s">
        <v>2310</v>
      </c>
      <c r="D595" s="2" t="s">
        <v>5</v>
      </c>
      <c r="E595" s="5" t="s">
        <v>411</v>
      </c>
      <c r="F595" s="2">
        <v>300</v>
      </c>
    </row>
    <row r="596" spans="1:6" x14ac:dyDescent="0.2">
      <c r="A596" s="6" t="s">
        <v>274</v>
      </c>
      <c r="B596" s="4">
        <v>270</v>
      </c>
      <c r="C596" s="2" t="s">
        <v>2308</v>
      </c>
      <c r="D596" s="2" t="s">
        <v>4</v>
      </c>
      <c r="E596" s="5" t="s">
        <v>410</v>
      </c>
      <c r="F596" s="2">
        <v>233</v>
      </c>
    </row>
    <row r="597" spans="1:6" x14ac:dyDescent="0.2">
      <c r="A597" s="6" t="s">
        <v>52</v>
      </c>
      <c r="B597" s="4">
        <v>47</v>
      </c>
      <c r="C597" s="2" t="s">
        <v>2309</v>
      </c>
      <c r="D597" s="2" t="s">
        <v>3</v>
      </c>
      <c r="E597" s="5" t="s">
        <v>411</v>
      </c>
      <c r="F597" s="2">
        <v>126</v>
      </c>
    </row>
    <row r="598" spans="1:6" x14ac:dyDescent="0.2">
      <c r="A598" s="6" t="s">
        <v>58</v>
      </c>
      <c r="B598" s="4">
        <v>53</v>
      </c>
      <c r="C598" s="2" t="s">
        <v>2309</v>
      </c>
      <c r="D598" s="2" t="s">
        <v>4</v>
      </c>
      <c r="E598" s="5" t="s">
        <v>408</v>
      </c>
      <c r="F598" s="2">
        <v>216</v>
      </c>
    </row>
    <row r="599" spans="1:6" x14ac:dyDescent="0.2">
      <c r="A599" s="6" t="s">
        <v>158</v>
      </c>
      <c r="B599" s="4">
        <v>153</v>
      </c>
      <c r="C599" s="2" t="s">
        <v>2310</v>
      </c>
      <c r="D599" s="2" t="s">
        <v>4</v>
      </c>
      <c r="E599" s="5" t="s">
        <v>412</v>
      </c>
      <c r="F599" s="2">
        <v>218</v>
      </c>
    </row>
    <row r="600" spans="1:6" x14ac:dyDescent="0.2">
      <c r="A600" s="6" t="s">
        <v>213</v>
      </c>
      <c r="B600" s="4">
        <v>209</v>
      </c>
      <c r="C600" s="2" t="s">
        <v>2308</v>
      </c>
      <c r="D600" s="2" t="s">
        <v>2</v>
      </c>
      <c r="E600" s="6" t="s">
        <v>408</v>
      </c>
      <c r="F600" s="2">
        <v>265</v>
      </c>
    </row>
    <row r="601" spans="1:6" x14ac:dyDescent="0.2">
      <c r="A601" s="6" t="s">
        <v>307</v>
      </c>
      <c r="B601" s="4">
        <v>303</v>
      </c>
      <c r="C601" s="2" t="s">
        <v>2307</v>
      </c>
      <c r="D601" s="2" t="s">
        <v>2</v>
      </c>
      <c r="E601" s="5" t="s">
        <v>408</v>
      </c>
      <c r="F601" s="2">
        <v>262</v>
      </c>
    </row>
    <row r="602" spans="1:6" x14ac:dyDescent="0.2">
      <c r="A602" s="6" t="s">
        <v>101</v>
      </c>
      <c r="B602" s="4">
        <v>96</v>
      </c>
      <c r="C602" s="2" t="s">
        <v>2309</v>
      </c>
      <c r="D602" s="2" t="s">
        <v>5</v>
      </c>
      <c r="E602" s="5" t="s">
        <v>412</v>
      </c>
      <c r="F602" s="2">
        <v>209</v>
      </c>
    </row>
    <row r="603" spans="1:6" x14ac:dyDescent="0.2">
      <c r="A603" s="6" t="s">
        <v>239</v>
      </c>
      <c r="B603" s="4">
        <v>235</v>
      </c>
      <c r="C603" s="2" t="s">
        <v>2308</v>
      </c>
      <c r="D603" s="2" t="s">
        <v>3</v>
      </c>
      <c r="E603" s="7" t="s">
        <v>409</v>
      </c>
      <c r="F603" s="2">
        <v>178</v>
      </c>
    </row>
    <row r="604" spans="1:6" x14ac:dyDescent="0.2">
      <c r="A604" s="6" t="s">
        <v>66</v>
      </c>
      <c r="B604" s="4">
        <v>61</v>
      </c>
      <c r="C604" s="2" t="s">
        <v>2309</v>
      </c>
      <c r="D604" s="2" t="s">
        <v>4</v>
      </c>
      <c r="E604" s="5" t="s">
        <v>412</v>
      </c>
      <c r="F604" s="2">
        <v>247</v>
      </c>
    </row>
    <row r="605" spans="1:6" x14ac:dyDescent="0.2">
      <c r="A605" s="6" t="s">
        <v>50</v>
      </c>
      <c r="B605" s="4">
        <v>45</v>
      </c>
      <c r="C605" s="2" t="s">
        <v>2309</v>
      </c>
      <c r="D605" s="2" t="s">
        <v>3</v>
      </c>
      <c r="E605" s="5" t="s">
        <v>412</v>
      </c>
      <c r="F605" s="2">
        <v>143</v>
      </c>
    </row>
    <row r="606" spans="1:6" x14ac:dyDescent="0.2">
      <c r="A606" s="6" t="s">
        <v>354</v>
      </c>
      <c r="B606" s="4">
        <v>350</v>
      </c>
      <c r="C606" s="2" t="s">
        <v>2307</v>
      </c>
      <c r="D606" s="2" t="s">
        <v>3</v>
      </c>
      <c r="E606" s="5" t="s">
        <v>409</v>
      </c>
      <c r="F606" s="2">
        <v>237</v>
      </c>
    </row>
    <row r="607" spans="1:6" x14ac:dyDescent="0.2">
      <c r="A607" s="6" t="s">
        <v>249</v>
      </c>
      <c r="B607" s="4">
        <v>245</v>
      </c>
      <c r="C607" s="2" t="s">
        <v>2308</v>
      </c>
      <c r="D607" s="2" t="s">
        <v>4</v>
      </c>
      <c r="E607" s="6" t="s">
        <v>408</v>
      </c>
      <c r="F607" s="2">
        <v>152</v>
      </c>
    </row>
    <row r="608" spans="1:6" x14ac:dyDescent="0.2">
      <c r="A608" s="6" t="s">
        <v>12</v>
      </c>
      <c r="B608" s="4">
        <v>7</v>
      </c>
      <c r="C608" s="2" t="s">
        <v>2309</v>
      </c>
      <c r="D608" s="2" t="s">
        <v>2</v>
      </c>
      <c r="E608" s="5" t="s">
        <v>409</v>
      </c>
      <c r="F608" s="2">
        <v>279</v>
      </c>
    </row>
    <row r="609" spans="1:6" x14ac:dyDescent="0.2">
      <c r="A609" s="6" t="s">
        <v>301</v>
      </c>
      <c r="B609" s="4">
        <v>297</v>
      </c>
      <c r="C609" s="2" t="s">
        <v>2307</v>
      </c>
      <c r="D609" s="2" t="s">
        <v>2</v>
      </c>
      <c r="E609" s="5" t="s">
        <v>410</v>
      </c>
      <c r="F609" s="2">
        <v>222</v>
      </c>
    </row>
    <row r="610" spans="1:6" x14ac:dyDescent="0.2">
      <c r="A610" s="6" t="s">
        <v>235</v>
      </c>
      <c r="B610" s="4">
        <v>231</v>
      </c>
      <c r="C610" s="2" t="s">
        <v>2308</v>
      </c>
      <c r="D610" s="2" t="s">
        <v>3</v>
      </c>
      <c r="E610" s="5" t="s">
        <v>412</v>
      </c>
      <c r="F610" s="2">
        <v>137</v>
      </c>
    </row>
    <row r="611" spans="1:6" x14ac:dyDescent="0.2">
      <c r="A611" s="6" t="s">
        <v>214</v>
      </c>
      <c r="B611" s="4">
        <v>210</v>
      </c>
      <c r="C611" s="2" t="s">
        <v>2308</v>
      </c>
      <c r="D611" s="2" t="s">
        <v>2</v>
      </c>
      <c r="E611" s="5" t="s">
        <v>409</v>
      </c>
      <c r="F611" s="2">
        <v>242</v>
      </c>
    </row>
    <row r="612" spans="1:6" x14ac:dyDescent="0.2">
      <c r="A612" s="6" t="s">
        <v>370</v>
      </c>
      <c r="B612" s="4">
        <v>366</v>
      </c>
      <c r="C612" s="2" t="s">
        <v>2307</v>
      </c>
      <c r="D612" s="2" t="s">
        <v>4</v>
      </c>
      <c r="E612" s="5" t="s">
        <v>412</v>
      </c>
      <c r="F612" s="2">
        <v>211</v>
      </c>
    </row>
    <row r="613" spans="1:6" x14ac:dyDescent="0.2">
      <c r="A613" s="6" t="s">
        <v>59</v>
      </c>
      <c r="B613" s="4">
        <v>54</v>
      </c>
      <c r="C613" s="2" t="s">
        <v>2309</v>
      </c>
      <c r="D613" s="2" t="s">
        <v>4</v>
      </c>
      <c r="E613" s="5" t="s">
        <v>408</v>
      </c>
      <c r="F613" s="2">
        <v>187</v>
      </c>
    </row>
    <row r="614" spans="1:6" x14ac:dyDescent="0.2">
      <c r="A614" s="6" t="s">
        <v>248</v>
      </c>
      <c r="B614" s="4">
        <v>244</v>
      </c>
      <c r="C614" s="2" t="s">
        <v>2308</v>
      </c>
      <c r="D614" s="2" t="s">
        <v>4</v>
      </c>
      <c r="E614" s="6" t="s">
        <v>408</v>
      </c>
      <c r="F614" s="2">
        <v>234</v>
      </c>
    </row>
    <row r="615" spans="1:6" x14ac:dyDescent="0.2">
      <c r="A615" s="6" t="s">
        <v>106</v>
      </c>
      <c r="B615" s="4">
        <v>101</v>
      </c>
      <c r="C615" s="2" t="s">
        <v>2310</v>
      </c>
      <c r="D615" s="2" t="s">
        <v>2</v>
      </c>
      <c r="E615" s="5" t="s">
        <v>411</v>
      </c>
      <c r="F615" s="2">
        <v>217</v>
      </c>
    </row>
    <row r="616" spans="1:6" x14ac:dyDescent="0.2">
      <c r="A616" s="6" t="s">
        <v>15</v>
      </c>
      <c r="B616" s="4">
        <v>10</v>
      </c>
      <c r="C616" s="2" t="s">
        <v>2309</v>
      </c>
      <c r="D616" s="2" t="s">
        <v>2</v>
      </c>
      <c r="E616" s="5" t="s">
        <v>409</v>
      </c>
      <c r="F616" s="2">
        <v>214</v>
      </c>
    </row>
    <row r="617" spans="1:6" x14ac:dyDescent="0.2">
      <c r="A617" s="6" t="s">
        <v>9</v>
      </c>
      <c r="B617" s="4">
        <v>4</v>
      </c>
      <c r="C617" s="2" t="s">
        <v>2309</v>
      </c>
      <c r="D617" s="2" t="s">
        <v>2</v>
      </c>
      <c r="E617" s="5" t="s">
        <v>408</v>
      </c>
      <c r="F617" s="2">
        <v>254</v>
      </c>
    </row>
    <row r="618" spans="1:6" x14ac:dyDescent="0.2">
      <c r="A618" s="6" t="s">
        <v>298</v>
      </c>
      <c r="B618" s="4">
        <v>294</v>
      </c>
      <c r="C618" s="2" t="s">
        <v>2308</v>
      </c>
      <c r="D618" s="2" t="s">
        <v>5</v>
      </c>
      <c r="E618" s="5" t="s">
        <v>410</v>
      </c>
      <c r="F618" s="2">
        <v>182</v>
      </c>
    </row>
    <row r="619" spans="1:6" x14ac:dyDescent="0.2">
      <c r="A619" s="6" t="s">
        <v>257</v>
      </c>
      <c r="B619" s="4">
        <v>253</v>
      </c>
      <c r="C619" s="2" t="s">
        <v>2308</v>
      </c>
      <c r="D619" s="2" t="s">
        <v>4</v>
      </c>
      <c r="E619" s="5" t="s">
        <v>411</v>
      </c>
      <c r="F619" s="2">
        <v>233</v>
      </c>
    </row>
    <row r="620" spans="1:6" x14ac:dyDescent="0.2">
      <c r="A620" s="6" t="s">
        <v>407</v>
      </c>
      <c r="B620" s="4">
        <v>403</v>
      </c>
      <c r="C620" s="2" t="s">
        <v>2307</v>
      </c>
      <c r="D620" s="2" t="s">
        <v>5</v>
      </c>
      <c r="E620" s="5" t="s">
        <v>408</v>
      </c>
      <c r="F620" s="2">
        <v>238</v>
      </c>
    </row>
    <row r="621" spans="1:6" x14ac:dyDescent="0.2">
      <c r="A621" s="6" t="s">
        <v>400</v>
      </c>
      <c r="B621" s="4">
        <v>396</v>
      </c>
      <c r="C621" s="2" t="s">
        <v>2307</v>
      </c>
      <c r="D621" s="2" t="s">
        <v>5</v>
      </c>
      <c r="E621" s="5" t="s">
        <v>412</v>
      </c>
      <c r="F621" s="2">
        <v>243</v>
      </c>
    </row>
    <row r="622" spans="1:6" x14ac:dyDescent="0.2">
      <c r="A622" s="6" t="s">
        <v>46</v>
      </c>
      <c r="B622" s="4">
        <v>41</v>
      </c>
      <c r="C622" s="2" t="s">
        <v>2309</v>
      </c>
      <c r="D622" s="2" t="s">
        <v>3</v>
      </c>
      <c r="E622" s="5" t="s">
        <v>409</v>
      </c>
      <c r="F622" s="2">
        <v>192</v>
      </c>
    </row>
    <row r="623" spans="1:6" x14ac:dyDescent="0.2">
      <c r="A623" s="6" t="s">
        <v>206</v>
      </c>
      <c r="B623" s="4">
        <v>202</v>
      </c>
      <c r="C623" s="2" t="s">
        <v>2308</v>
      </c>
      <c r="D623" s="2" t="s">
        <v>2</v>
      </c>
      <c r="E623" s="6" t="s">
        <v>408</v>
      </c>
      <c r="F623" s="2">
        <v>124</v>
      </c>
    </row>
    <row r="624" spans="1:6" x14ac:dyDescent="0.2">
      <c r="A624" s="6" t="s">
        <v>260</v>
      </c>
      <c r="B624" s="4">
        <v>256</v>
      </c>
      <c r="C624" s="2" t="s">
        <v>2308</v>
      </c>
      <c r="D624" s="2" t="s">
        <v>4</v>
      </c>
      <c r="E624" s="5" t="s">
        <v>410</v>
      </c>
      <c r="F624" s="2">
        <v>223</v>
      </c>
    </row>
    <row r="625" spans="1:6" x14ac:dyDescent="0.2">
      <c r="A625" s="6" t="s">
        <v>16</v>
      </c>
      <c r="B625" s="4">
        <v>11</v>
      </c>
      <c r="C625" s="2" t="s">
        <v>2309</v>
      </c>
      <c r="D625" s="2" t="s">
        <v>2</v>
      </c>
      <c r="E625" s="5" t="s">
        <v>411</v>
      </c>
      <c r="F625" s="2">
        <v>141</v>
      </c>
    </row>
    <row r="626" spans="1:6" x14ac:dyDescent="0.2">
      <c r="A626" s="6" t="s">
        <v>238</v>
      </c>
      <c r="B626" s="4">
        <v>234</v>
      </c>
      <c r="C626" s="2" t="s">
        <v>2308</v>
      </c>
      <c r="D626" s="2" t="s">
        <v>3</v>
      </c>
      <c r="E626" s="5" t="s">
        <v>412</v>
      </c>
      <c r="F626" s="2">
        <v>232</v>
      </c>
    </row>
    <row r="627" spans="1:6" x14ac:dyDescent="0.2">
      <c r="A627" s="6" t="s">
        <v>315</v>
      </c>
      <c r="B627" s="4">
        <v>311</v>
      </c>
      <c r="C627" s="2" t="s">
        <v>2307</v>
      </c>
      <c r="D627" s="2" t="s">
        <v>2</v>
      </c>
      <c r="E627" s="5" t="s">
        <v>412</v>
      </c>
      <c r="F627" s="2">
        <v>259</v>
      </c>
    </row>
    <row r="628" spans="1:6" x14ac:dyDescent="0.2">
      <c r="A628" s="6" t="s">
        <v>115</v>
      </c>
      <c r="B628" s="4">
        <v>110</v>
      </c>
      <c r="C628" s="2" t="s">
        <v>2310</v>
      </c>
      <c r="D628" s="2" t="s">
        <v>2</v>
      </c>
      <c r="E628" s="5" t="s">
        <v>411</v>
      </c>
      <c r="F628" s="2">
        <v>247</v>
      </c>
    </row>
    <row r="629" spans="1:6" x14ac:dyDescent="0.2">
      <c r="A629" s="6" t="s">
        <v>64</v>
      </c>
      <c r="B629" s="4">
        <v>59</v>
      </c>
      <c r="C629" s="2" t="s">
        <v>2309</v>
      </c>
      <c r="D629" s="2" t="s">
        <v>4</v>
      </c>
      <c r="E629" s="5" t="s">
        <v>410</v>
      </c>
      <c r="F629" s="2">
        <v>272</v>
      </c>
    </row>
    <row r="630" spans="1:6" x14ac:dyDescent="0.2">
      <c r="A630" s="6" t="s">
        <v>218</v>
      </c>
      <c r="B630" s="4">
        <v>214</v>
      </c>
      <c r="C630" s="2" t="s">
        <v>2308</v>
      </c>
      <c r="D630" s="2" t="s">
        <v>2</v>
      </c>
      <c r="E630" s="6" t="s">
        <v>408</v>
      </c>
      <c r="F630" s="2">
        <v>151</v>
      </c>
    </row>
    <row r="631" spans="1:6" x14ac:dyDescent="0.2">
      <c r="A631" s="6" t="s">
        <v>397</v>
      </c>
      <c r="B631" s="4">
        <v>393</v>
      </c>
      <c r="C631" s="2" t="s">
        <v>2307</v>
      </c>
      <c r="D631" s="2" t="s">
        <v>5</v>
      </c>
      <c r="E631" s="5" t="s">
        <v>410</v>
      </c>
      <c r="F631" s="2">
        <v>177</v>
      </c>
    </row>
    <row r="632" spans="1:6" x14ac:dyDescent="0.2">
      <c r="A632" s="6" t="s">
        <v>346</v>
      </c>
      <c r="B632" s="4">
        <v>342</v>
      </c>
      <c r="C632" s="2" t="s">
        <v>2307</v>
      </c>
      <c r="D632" s="2" t="s">
        <v>3</v>
      </c>
      <c r="E632" s="5" t="s">
        <v>410</v>
      </c>
      <c r="F632" s="2">
        <v>216</v>
      </c>
    </row>
    <row r="633" spans="1:6" x14ac:dyDescent="0.2">
      <c r="A633" s="6" t="s">
        <v>109</v>
      </c>
      <c r="B633" s="4">
        <v>104</v>
      </c>
      <c r="C633" s="2" t="s">
        <v>2310</v>
      </c>
      <c r="D633" s="2" t="s">
        <v>2</v>
      </c>
      <c r="E633" s="5" t="s">
        <v>411</v>
      </c>
      <c r="F633" s="2">
        <v>158</v>
      </c>
    </row>
    <row r="634" spans="1:6" x14ac:dyDescent="0.2">
      <c r="A634" s="6" t="s">
        <v>145</v>
      </c>
      <c r="B634" s="4">
        <v>140</v>
      </c>
      <c r="C634" s="2" t="s">
        <v>2310</v>
      </c>
      <c r="D634" s="2" t="s">
        <v>3</v>
      </c>
      <c r="E634" s="7" t="s">
        <v>409</v>
      </c>
      <c r="F634" s="2">
        <v>260</v>
      </c>
    </row>
    <row r="635" spans="1:6" x14ac:dyDescent="0.2">
      <c r="A635" s="6" t="s">
        <v>145</v>
      </c>
      <c r="B635" s="4">
        <v>140</v>
      </c>
      <c r="C635" s="2" t="s">
        <v>2310</v>
      </c>
      <c r="D635" s="2" t="s">
        <v>3</v>
      </c>
      <c r="E635" s="5" t="s">
        <v>412</v>
      </c>
      <c r="F635" s="2">
        <v>179</v>
      </c>
    </row>
    <row r="636" spans="1:6" x14ac:dyDescent="0.2">
      <c r="A636" s="6" t="s">
        <v>57</v>
      </c>
      <c r="B636" s="4">
        <v>52</v>
      </c>
      <c r="C636" s="2" t="s">
        <v>2309</v>
      </c>
      <c r="D636" s="2" t="s">
        <v>4</v>
      </c>
      <c r="E636" s="5" t="s">
        <v>410</v>
      </c>
      <c r="F636" s="2">
        <v>173</v>
      </c>
    </row>
    <row r="637" spans="1:6" x14ac:dyDescent="0.2">
      <c r="A637" s="6" t="s">
        <v>373</v>
      </c>
      <c r="B637" s="4">
        <v>369</v>
      </c>
      <c r="C637" s="2" t="s">
        <v>2307</v>
      </c>
      <c r="D637" s="2" t="s">
        <v>4</v>
      </c>
      <c r="E637" s="5" t="s">
        <v>409</v>
      </c>
      <c r="F637" s="2">
        <v>254</v>
      </c>
    </row>
    <row r="638" spans="1:6" x14ac:dyDescent="0.2">
      <c r="A638" s="6" t="s">
        <v>110</v>
      </c>
      <c r="B638" s="4">
        <v>105</v>
      </c>
      <c r="C638" s="2" t="s">
        <v>2310</v>
      </c>
      <c r="D638" s="2" t="s">
        <v>2</v>
      </c>
      <c r="E638" s="5" t="s">
        <v>409</v>
      </c>
      <c r="F638" s="2">
        <v>244</v>
      </c>
    </row>
    <row r="639" spans="1:6" x14ac:dyDescent="0.2">
      <c r="A639" s="6" t="s">
        <v>225</v>
      </c>
      <c r="B639" s="4">
        <v>221</v>
      </c>
      <c r="C639" s="2" t="s">
        <v>2308</v>
      </c>
      <c r="D639" s="2" t="s">
        <v>3</v>
      </c>
      <c r="E639" s="7" t="s">
        <v>409</v>
      </c>
      <c r="F639" s="2">
        <v>179</v>
      </c>
    </row>
    <row r="640" spans="1:6" x14ac:dyDescent="0.2">
      <c r="A640" s="6" t="s">
        <v>46</v>
      </c>
      <c r="B640" s="4">
        <v>41</v>
      </c>
      <c r="C640" s="2" t="s">
        <v>2309</v>
      </c>
      <c r="D640" s="2" t="s">
        <v>3</v>
      </c>
      <c r="E640" s="5" t="s">
        <v>411</v>
      </c>
      <c r="F640" s="2">
        <v>250</v>
      </c>
    </row>
    <row r="641" spans="1:6" x14ac:dyDescent="0.2">
      <c r="A641" s="6" t="s">
        <v>169</v>
      </c>
      <c r="B641" s="4">
        <v>164</v>
      </c>
      <c r="C641" s="2" t="s">
        <v>2310</v>
      </c>
      <c r="D641" s="2" t="s">
        <v>4</v>
      </c>
      <c r="E641" s="5" t="s">
        <v>411</v>
      </c>
      <c r="F641" s="2">
        <v>205</v>
      </c>
    </row>
    <row r="642" spans="1:6" x14ac:dyDescent="0.2">
      <c r="A642" s="6" t="s">
        <v>108</v>
      </c>
      <c r="B642" s="4">
        <v>103</v>
      </c>
      <c r="C642" s="2" t="s">
        <v>2310</v>
      </c>
      <c r="D642" s="2" t="s">
        <v>2</v>
      </c>
      <c r="E642" s="5" t="s">
        <v>412</v>
      </c>
      <c r="F642" s="2">
        <v>250</v>
      </c>
    </row>
    <row r="643" spans="1:6" x14ac:dyDescent="0.2">
      <c r="A643" s="6" t="s">
        <v>13</v>
      </c>
      <c r="B643" s="4">
        <v>8</v>
      </c>
      <c r="C643" s="2" t="s">
        <v>2309</v>
      </c>
      <c r="D643" s="2" t="s">
        <v>2</v>
      </c>
      <c r="E643" s="5" t="s">
        <v>410</v>
      </c>
      <c r="F643" s="2">
        <v>196</v>
      </c>
    </row>
    <row r="644" spans="1:6" x14ac:dyDescent="0.2">
      <c r="A644" s="6" t="s">
        <v>297</v>
      </c>
      <c r="B644" s="4">
        <v>293</v>
      </c>
      <c r="C644" s="2" t="s">
        <v>2308</v>
      </c>
      <c r="D644" s="2" t="s">
        <v>5</v>
      </c>
      <c r="E644" s="5" t="s">
        <v>410</v>
      </c>
      <c r="F644" s="2">
        <v>293</v>
      </c>
    </row>
    <row r="645" spans="1:6" x14ac:dyDescent="0.2">
      <c r="A645" s="6" t="s">
        <v>167</v>
      </c>
      <c r="B645" s="4">
        <v>162</v>
      </c>
      <c r="C645" s="2" t="s">
        <v>2310</v>
      </c>
      <c r="D645" s="2" t="s">
        <v>4</v>
      </c>
      <c r="E645" s="5" t="s">
        <v>412</v>
      </c>
      <c r="F645" s="2">
        <v>180</v>
      </c>
    </row>
    <row r="646" spans="1:6" x14ac:dyDescent="0.2">
      <c r="A646" s="6" t="s">
        <v>195</v>
      </c>
      <c r="B646" s="4">
        <v>191</v>
      </c>
      <c r="C646" s="2" t="s">
        <v>2310</v>
      </c>
      <c r="D646" s="2" t="s">
        <v>5</v>
      </c>
      <c r="E646" s="5" t="s">
        <v>411</v>
      </c>
      <c r="F646" s="2">
        <v>294</v>
      </c>
    </row>
    <row r="647" spans="1:6" x14ac:dyDescent="0.2">
      <c r="A647" s="6" t="s">
        <v>192</v>
      </c>
      <c r="B647" s="4">
        <v>187</v>
      </c>
      <c r="C647" s="2" t="s">
        <v>2310</v>
      </c>
      <c r="D647" s="2" t="s">
        <v>5</v>
      </c>
      <c r="E647" s="7" t="s">
        <v>410</v>
      </c>
      <c r="F647" s="2">
        <v>208</v>
      </c>
    </row>
    <row r="648" spans="1:6" x14ac:dyDescent="0.2">
      <c r="A648" s="6" t="s">
        <v>128</v>
      </c>
      <c r="B648" s="4">
        <v>123</v>
      </c>
      <c r="C648" s="2" t="s">
        <v>2310</v>
      </c>
      <c r="D648" s="2" t="s">
        <v>3</v>
      </c>
      <c r="E648" s="7" t="s">
        <v>409</v>
      </c>
      <c r="F648" s="2">
        <v>239</v>
      </c>
    </row>
    <row r="649" spans="1:6" x14ac:dyDescent="0.2">
      <c r="A649" s="6" t="s">
        <v>229</v>
      </c>
      <c r="B649" s="4">
        <v>225</v>
      </c>
      <c r="C649" s="2" t="s">
        <v>2308</v>
      </c>
      <c r="D649" s="2" t="s">
        <v>3</v>
      </c>
      <c r="E649" s="7" t="s">
        <v>411</v>
      </c>
      <c r="F649" s="2">
        <v>275</v>
      </c>
    </row>
    <row r="650" spans="1:6" x14ac:dyDescent="0.2">
      <c r="A650" s="6" t="s">
        <v>107</v>
      </c>
      <c r="B650" s="4">
        <v>102</v>
      </c>
      <c r="C650" s="2" t="s">
        <v>2310</v>
      </c>
      <c r="D650" s="2" t="s">
        <v>2</v>
      </c>
      <c r="E650" s="5" t="s">
        <v>409</v>
      </c>
      <c r="F650" s="2">
        <v>281</v>
      </c>
    </row>
    <row r="651" spans="1:6" x14ac:dyDescent="0.2">
      <c r="A651" s="6" t="s">
        <v>35</v>
      </c>
      <c r="B651" s="4">
        <v>30</v>
      </c>
      <c r="C651" s="2" t="s">
        <v>2309</v>
      </c>
      <c r="D651" s="2" t="s">
        <v>3</v>
      </c>
      <c r="E651" s="5" t="s">
        <v>411</v>
      </c>
      <c r="F651" s="2">
        <v>251</v>
      </c>
    </row>
    <row r="652" spans="1:6" x14ac:dyDescent="0.2">
      <c r="A652" s="6" t="s">
        <v>140</v>
      </c>
      <c r="B652" s="4">
        <v>135</v>
      </c>
      <c r="C652" s="2" t="s">
        <v>2310</v>
      </c>
      <c r="D652" s="2" t="s">
        <v>3</v>
      </c>
      <c r="E652" s="7" t="s">
        <v>409</v>
      </c>
      <c r="F652" s="2">
        <v>192</v>
      </c>
    </row>
    <row r="653" spans="1:6" x14ac:dyDescent="0.2">
      <c r="A653" s="6" t="s">
        <v>210</v>
      </c>
      <c r="B653" s="4">
        <v>206</v>
      </c>
      <c r="C653" s="2" t="s">
        <v>2308</v>
      </c>
      <c r="D653" s="2" t="s">
        <v>2</v>
      </c>
      <c r="E653" s="5" t="s">
        <v>412</v>
      </c>
      <c r="F653" s="2">
        <v>200</v>
      </c>
    </row>
    <row r="654" spans="1:6" x14ac:dyDescent="0.2">
      <c r="A654" s="6" t="s">
        <v>250</v>
      </c>
      <c r="B654" s="4">
        <v>246</v>
      </c>
      <c r="C654" s="2" t="s">
        <v>2308</v>
      </c>
      <c r="D654" s="2" t="s">
        <v>4</v>
      </c>
      <c r="E654" s="5" t="s">
        <v>410</v>
      </c>
      <c r="F654" s="2">
        <v>267</v>
      </c>
    </row>
    <row r="655" spans="1:6" x14ac:dyDescent="0.2">
      <c r="A655" s="6" t="s">
        <v>33</v>
      </c>
      <c r="B655" s="4">
        <v>28</v>
      </c>
      <c r="C655" s="2" t="s">
        <v>2309</v>
      </c>
      <c r="D655" s="2" t="s">
        <v>2</v>
      </c>
      <c r="E655" s="5" t="s">
        <v>409</v>
      </c>
      <c r="F655" s="2">
        <v>183</v>
      </c>
    </row>
    <row r="656" spans="1:6" x14ac:dyDescent="0.2">
      <c r="A656" s="6" t="s">
        <v>122</v>
      </c>
      <c r="B656" s="4">
        <v>117</v>
      </c>
      <c r="C656" s="2" t="s">
        <v>2310</v>
      </c>
      <c r="D656" s="2" t="s">
        <v>2</v>
      </c>
      <c r="E656" s="5" t="s">
        <v>410</v>
      </c>
      <c r="F656" s="2">
        <v>148</v>
      </c>
    </row>
    <row r="657" spans="1:6" x14ac:dyDescent="0.2">
      <c r="A657" s="6" t="s">
        <v>193</v>
      </c>
      <c r="B657" s="4">
        <v>189</v>
      </c>
      <c r="C657" s="2" t="s">
        <v>2310</v>
      </c>
      <c r="D657" s="2" t="s">
        <v>5</v>
      </c>
      <c r="E657" s="5" t="s">
        <v>412</v>
      </c>
      <c r="F657" s="2">
        <v>298</v>
      </c>
    </row>
    <row r="658" spans="1:6" x14ac:dyDescent="0.2">
      <c r="A658" s="6" t="s">
        <v>245</v>
      </c>
      <c r="B658" s="4">
        <v>241</v>
      </c>
      <c r="C658" s="2" t="s">
        <v>2308</v>
      </c>
      <c r="D658" s="2" t="s">
        <v>3</v>
      </c>
      <c r="E658" s="7" t="s">
        <v>411</v>
      </c>
      <c r="F658" s="2">
        <v>157</v>
      </c>
    </row>
    <row r="659" spans="1:6" x14ac:dyDescent="0.2">
      <c r="A659" s="6" t="s">
        <v>382</v>
      </c>
      <c r="B659" s="4">
        <v>378</v>
      </c>
      <c r="C659" s="2" t="s">
        <v>2307</v>
      </c>
      <c r="D659" s="2" t="s">
        <v>5</v>
      </c>
      <c r="E659" s="5" t="s">
        <v>408</v>
      </c>
      <c r="F659" s="2">
        <v>168</v>
      </c>
    </row>
    <row r="660" spans="1:6" x14ac:dyDescent="0.2">
      <c r="A660" s="6" t="s">
        <v>162</v>
      </c>
      <c r="B660" s="4">
        <v>157</v>
      </c>
      <c r="C660" s="2" t="s">
        <v>2310</v>
      </c>
      <c r="D660" s="2" t="s">
        <v>4</v>
      </c>
      <c r="E660" s="5" t="s">
        <v>412</v>
      </c>
      <c r="F660" s="2">
        <v>157</v>
      </c>
    </row>
    <row r="661" spans="1:6" x14ac:dyDescent="0.2">
      <c r="A661" s="6" t="s">
        <v>152</v>
      </c>
      <c r="B661" s="4">
        <v>147</v>
      </c>
      <c r="C661" s="2" t="s">
        <v>2310</v>
      </c>
      <c r="D661" s="2" t="s">
        <v>4</v>
      </c>
      <c r="E661" s="7" t="s">
        <v>409</v>
      </c>
      <c r="F661" s="2">
        <v>252</v>
      </c>
    </row>
    <row r="662" spans="1:6" x14ac:dyDescent="0.2">
      <c r="A662" s="6" t="s">
        <v>324</v>
      </c>
      <c r="B662" s="4">
        <v>320</v>
      </c>
      <c r="C662" s="2" t="s">
        <v>2307</v>
      </c>
      <c r="D662" s="2" t="s">
        <v>2</v>
      </c>
      <c r="E662" s="5" t="s">
        <v>410</v>
      </c>
      <c r="F662" s="2">
        <v>212</v>
      </c>
    </row>
    <row r="663" spans="1:6" x14ac:dyDescent="0.2">
      <c r="A663" s="6" t="s">
        <v>103</v>
      </c>
      <c r="B663" s="4">
        <v>98</v>
      </c>
      <c r="C663" s="2" t="s">
        <v>2309</v>
      </c>
      <c r="D663" s="2" t="s">
        <v>5</v>
      </c>
      <c r="E663" s="5" t="s">
        <v>411</v>
      </c>
      <c r="F663" s="2">
        <v>297</v>
      </c>
    </row>
    <row r="664" spans="1:6" x14ac:dyDescent="0.2">
      <c r="A664" s="6" t="s">
        <v>235</v>
      </c>
      <c r="B664" s="4">
        <v>231</v>
      </c>
      <c r="C664" s="2" t="s">
        <v>2308</v>
      </c>
      <c r="D664" s="2" t="s">
        <v>3</v>
      </c>
      <c r="E664" s="7" t="s">
        <v>410</v>
      </c>
      <c r="F664" s="2">
        <v>272</v>
      </c>
    </row>
    <row r="665" spans="1:6" x14ac:dyDescent="0.2">
      <c r="A665" s="6" t="s">
        <v>137</v>
      </c>
      <c r="B665" s="4">
        <v>132</v>
      </c>
      <c r="C665" s="2" t="s">
        <v>2310</v>
      </c>
      <c r="D665" s="2" t="s">
        <v>3</v>
      </c>
      <c r="E665" s="7" t="s">
        <v>410</v>
      </c>
      <c r="F665" s="2">
        <v>154</v>
      </c>
    </row>
    <row r="666" spans="1:6" x14ac:dyDescent="0.2">
      <c r="A666" s="6" t="s">
        <v>248</v>
      </c>
      <c r="B666" s="4">
        <v>244</v>
      </c>
      <c r="C666" s="2" t="s">
        <v>2308</v>
      </c>
      <c r="D666" s="2" t="s">
        <v>4</v>
      </c>
      <c r="E666" s="5" t="s">
        <v>411</v>
      </c>
      <c r="F666" s="2">
        <v>296</v>
      </c>
    </row>
    <row r="667" spans="1:6" x14ac:dyDescent="0.2">
      <c r="A667" s="6" t="s">
        <v>183</v>
      </c>
      <c r="B667" s="4">
        <v>178</v>
      </c>
      <c r="C667" s="2" t="s">
        <v>2310</v>
      </c>
      <c r="D667" s="2" t="s">
        <v>5</v>
      </c>
      <c r="E667" s="6" t="s">
        <v>408</v>
      </c>
      <c r="F667" s="2">
        <v>126</v>
      </c>
    </row>
    <row r="668" spans="1:6" x14ac:dyDescent="0.2">
      <c r="A668" s="6" t="s">
        <v>29</v>
      </c>
      <c r="B668" s="4">
        <v>24</v>
      </c>
      <c r="C668" s="2" t="s">
        <v>2309</v>
      </c>
      <c r="D668" s="2" t="s">
        <v>2</v>
      </c>
      <c r="E668" s="5" t="s">
        <v>409</v>
      </c>
      <c r="F668" s="2">
        <v>220</v>
      </c>
    </row>
    <row r="669" spans="1:6" x14ac:dyDescent="0.2">
      <c r="A669" s="6" t="s">
        <v>227</v>
      </c>
      <c r="B669" s="4">
        <v>223</v>
      </c>
      <c r="C669" s="2" t="s">
        <v>2308</v>
      </c>
      <c r="D669" s="2" t="s">
        <v>3</v>
      </c>
      <c r="E669" s="7" t="s">
        <v>410</v>
      </c>
      <c r="F669" s="2">
        <v>211</v>
      </c>
    </row>
    <row r="670" spans="1:6" x14ac:dyDescent="0.2">
      <c r="A670" s="6" t="s">
        <v>42</v>
      </c>
      <c r="B670" s="4">
        <v>37</v>
      </c>
      <c r="C670" s="2" t="s">
        <v>2309</v>
      </c>
      <c r="D670" s="2" t="s">
        <v>3</v>
      </c>
      <c r="E670" s="5" t="s">
        <v>410</v>
      </c>
      <c r="F670" s="2">
        <v>138</v>
      </c>
    </row>
    <row r="671" spans="1:6" x14ac:dyDescent="0.2">
      <c r="A671" s="6" t="s">
        <v>58</v>
      </c>
      <c r="B671" s="4">
        <v>53</v>
      </c>
      <c r="C671" s="2" t="s">
        <v>2309</v>
      </c>
      <c r="D671" s="2" t="s">
        <v>4</v>
      </c>
      <c r="E671" s="5" t="s">
        <v>412</v>
      </c>
      <c r="F671" s="2">
        <v>132</v>
      </c>
    </row>
    <row r="672" spans="1:6" x14ac:dyDescent="0.2">
      <c r="A672" s="6" t="s">
        <v>104</v>
      </c>
      <c r="B672" s="4">
        <v>99</v>
      </c>
      <c r="C672" s="2" t="s">
        <v>2310</v>
      </c>
      <c r="D672" s="2" t="s">
        <v>2</v>
      </c>
      <c r="E672" s="5" t="s">
        <v>409</v>
      </c>
      <c r="F672" s="2">
        <v>252</v>
      </c>
    </row>
    <row r="673" spans="1:6" x14ac:dyDescent="0.2">
      <c r="A673" s="6" t="s">
        <v>75</v>
      </c>
      <c r="B673" s="4">
        <v>70</v>
      </c>
      <c r="C673" s="2" t="s">
        <v>2309</v>
      </c>
      <c r="D673" s="2" t="s">
        <v>4</v>
      </c>
      <c r="E673" s="5" t="s">
        <v>411</v>
      </c>
      <c r="F673" s="2">
        <v>279</v>
      </c>
    </row>
    <row r="674" spans="1:6" x14ac:dyDescent="0.2">
      <c r="A674" s="6" t="s">
        <v>61</v>
      </c>
      <c r="B674" s="4">
        <v>56</v>
      </c>
      <c r="C674" s="2" t="s">
        <v>2309</v>
      </c>
      <c r="D674" s="2" t="s">
        <v>4</v>
      </c>
      <c r="E674" s="5" t="s">
        <v>410</v>
      </c>
      <c r="F674" s="2">
        <v>226</v>
      </c>
    </row>
    <row r="675" spans="1:6" x14ac:dyDescent="0.2">
      <c r="A675" s="6" t="s">
        <v>148</v>
      </c>
      <c r="B675" s="4">
        <v>143</v>
      </c>
      <c r="C675" s="2" t="s">
        <v>2310</v>
      </c>
      <c r="D675" s="2" t="s">
        <v>4</v>
      </c>
      <c r="E675" s="6" t="s">
        <v>408</v>
      </c>
      <c r="F675" s="2">
        <v>281</v>
      </c>
    </row>
    <row r="676" spans="1:6" x14ac:dyDescent="0.2">
      <c r="A676" s="6" t="s">
        <v>118</v>
      </c>
      <c r="B676" s="4">
        <v>113</v>
      </c>
      <c r="C676" s="2" t="s">
        <v>2310</v>
      </c>
      <c r="D676" s="2" t="s">
        <v>2</v>
      </c>
      <c r="E676" s="5" t="s">
        <v>411</v>
      </c>
      <c r="F676" s="2">
        <v>265</v>
      </c>
    </row>
    <row r="677" spans="1:6" x14ac:dyDescent="0.2">
      <c r="A677" s="6" t="s">
        <v>319</v>
      </c>
      <c r="B677" s="4">
        <v>315</v>
      </c>
      <c r="C677" s="2" t="s">
        <v>2307</v>
      </c>
      <c r="D677" s="2" t="s">
        <v>2</v>
      </c>
      <c r="E677" s="5" t="s">
        <v>409</v>
      </c>
      <c r="F677" s="2">
        <v>270</v>
      </c>
    </row>
    <row r="678" spans="1:6" x14ac:dyDescent="0.2">
      <c r="A678" s="6" t="s">
        <v>148</v>
      </c>
      <c r="B678" s="4">
        <v>143</v>
      </c>
      <c r="C678" s="2" t="s">
        <v>2310</v>
      </c>
      <c r="D678" s="2" t="s">
        <v>4</v>
      </c>
      <c r="E678" s="7" t="s">
        <v>409</v>
      </c>
      <c r="F678" s="2">
        <v>201</v>
      </c>
    </row>
    <row r="679" spans="1:6" x14ac:dyDescent="0.2">
      <c r="A679" s="6" t="s">
        <v>271</v>
      </c>
      <c r="B679" s="4">
        <v>267</v>
      </c>
      <c r="C679" s="2" t="s">
        <v>2308</v>
      </c>
      <c r="D679" s="2" t="s">
        <v>4</v>
      </c>
      <c r="E679" s="5" t="s">
        <v>411</v>
      </c>
      <c r="F679" s="2">
        <v>215</v>
      </c>
    </row>
    <row r="680" spans="1:6" x14ac:dyDescent="0.2">
      <c r="A680" s="6" t="s">
        <v>126</v>
      </c>
      <c r="B680" s="4">
        <v>121</v>
      </c>
      <c r="C680" s="2" t="s">
        <v>2310</v>
      </c>
      <c r="D680" s="2" t="s">
        <v>3</v>
      </c>
      <c r="E680" s="7" t="s">
        <v>410</v>
      </c>
      <c r="F680" s="2">
        <v>202</v>
      </c>
    </row>
    <row r="681" spans="1:6" x14ac:dyDescent="0.2">
      <c r="A681" s="6" t="s">
        <v>119</v>
      </c>
      <c r="B681" s="4">
        <v>114</v>
      </c>
      <c r="C681" s="2" t="s">
        <v>2310</v>
      </c>
      <c r="D681" s="2" t="s">
        <v>2</v>
      </c>
      <c r="E681" s="5" t="s">
        <v>411</v>
      </c>
      <c r="F681" s="2">
        <v>171</v>
      </c>
    </row>
    <row r="682" spans="1:6" x14ac:dyDescent="0.2">
      <c r="A682" s="6" t="s">
        <v>374</v>
      </c>
      <c r="B682" s="4">
        <v>370</v>
      </c>
      <c r="C682" s="2" t="s">
        <v>2307</v>
      </c>
      <c r="D682" s="2" t="s">
        <v>4</v>
      </c>
      <c r="E682" s="5" t="s">
        <v>410</v>
      </c>
      <c r="F682" s="2">
        <v>166</v>
      </c>
    </row>
    <row r="683" spans="1:6" x14ac:dyDescent="0.2">
      <c r="A683" s="6" t="s">
        <v>300</v>
      </c>
      <c r="B683" s="4">
        <v>296</v>
      </c>
      <c r="C683" s="2" t="s">
        <v>2307</v>
      </c>
      <c r="D683" s="2" t="s">
        <v>2</v>
      </c>
      <c r="E683" s="5" t="s">
        <v>410</v>
      </c>
      <c r="F683" s="2">
        <v>252</v>
      </c>
    </row>
    <row r="684" spans="1:6" x14ac:dyDescent="0.2">
      <c r="A684" s="6" t="s">
        <v>205</v>
      </c>
      <c r="B684" s="4">
        <v>201</v>
      </c>
      <c r="C684" s="2" t="s">
        <v>2308</v>
      </c>
      <c r="D684" s="2" t="s">
        <v>2</v>
      </c>
      <c r="E684" s="5" t="s">
        <v>412</v>
      </c>
      <c r="F684" s="2">
        <v>181</v>
      </c>
    </row>
    <row r="685" spans="1:6" x14ac:dyDescent="0.2">
      <c r="A685" s="6" t="s">
        <v>278</v>
      </c>
      <c r="B685" s="4">
        <v>274</v>
      </c>
      <c r="C685" s="2" t="s">
        <v>2308</v>
      </c>
      <c r="D685" s="2" t="s">
        <v>5</v>
      </c>
      <c r="E685" s="5" t="s">
        <v>411</v>
      </c>
      <c r="F685" s="2">
        <v>261</v>
      </c>
    </row>
    <row r="686" spans="1:6" x14ac:dyDescent="0.2">
      <c r="A686" s="6" t="s">
        <v>292</v>
      </c>
      <c r="B686" s="4">
        <v>288</v>
      </c>
      <c r="C686" s="2" t="s">
        <v>2308</v>
      </c>
      <c r="D686" s="2" t="s">
        <v>5</v>
      </c>
      <c r="E686" s="5" t="s">
        <v>410</v>
      </c>
      <c r="F686" s="2">
        <v>237</v>
      </c>
    </row>
    <row r="687" spans="1:6" x14ac:dyDescent="0.2">
      <c r="A687" s="6" t="s">
        <v>69</v>
      </c>
      <c r="B687" s="4">
        <v>64</v>
      </c>
      <c r="C687" s="2" t="s">
        <v>2309</v>
      </c>
      <c r="D687" s="2" t="s">
        <v>4</v>
      </c>
      <c r="E687" s="5" t="s">
        <v>409</v>
      </c>
      <c r="F687" s="2">
        <v>230</v>
      </c>
    </row>
    <row r="688" spans="1:6" x14ac:dyDescent="0.2">
      <c r="A688" s="6" t="s">
        <v>85</v>
      </c>
      <c r="B688" s="4">
        <v>80</v>
      </c>
      <c r="C688" s="2" t="s">
        <v>2309</v>
      </c>
      <c r="D688" s="2" t="s">
        <v>5</v>
      </c>
      <c r="E688" s="5" t="s">
        <v>408</v>
      </c>
      <c r="F688" s="2">
        <v>246</v>
      </c>
    </row>
    <row r="689" spans="1:6" x14ac:dyDescent="0.2">
      <c r="A689" s="6" t="s">
        <v>394</v>
      </c>
      <c r="B689" s="4">
        <v>390</v>
      </c>
      <c r="C689" s="2" t="s">
        <v>2307</v>
      </c>
      <c r="D689" s="2" t="s">
        <v>5</v>
      </c>
      <c r="E689" s="5" t="s">
        <v>409</v>
      </c>
      <c r="F689" s="2">
        <v>174</v>
      </c>
    </row>
    <row r="690" spans="1:6" x14ac:dyDescent="0.2">
      <c r="A690" s="6" t="s">
        <v>139</v>
      </c>
      <c r="B690" s="4">
        <v>134</v>
      </c>
      <c r="C690" s="2" t="s">
        <v>2310</v>
      </c>
      <c r="D690" s="2" t="s">
        <v>3</v>
      </c>
      <c r="E690" s="7" t="s">
        <v>410</v>
      </c>
      <c r="F690" s="2">
        <v>208</v>
      </c>
    </row>
    <row r="691" spans="1:6" x14ac:dyDescent="0.2">
      <c r="A691" s="6" t="s">
        <v>265</v>
      </c>
      <c r="B691" s="4">
        <v>261</v>
      </c>
      <c r="C691" s="2" t="s">
        <v>2308</v>
      </c>
      <c r="D691" s="2" t="s">
        <v>4</v>
      </c>
      <c r="E691" s="5" t="s">
        <v>411</v>
      </c>
      <c r="F691" s="2">
        <v>155</v>
      </c>
    </row>
    <row r="692" spans="1:6" x14ac:dyDescent="0.2">
      <c r="A692" s="6" t="s">
        <v>106</v>
      </c>
      <c r="B692" s="4">
        <v>101</v>
      </c>
      <c r="C692" s="2" t="s">
        <v>2310</v>
      </c>
      <c r="D692" s="2" t="s">
        <v>2</v>
      </c>
      <c r="E692" s="5" t="s">
        <v>408</v>
      </c>
      <c r="F692" s="2">
        <v>157</v>
      </c>
    </row>
    <row r="693" spans="1:6" x14ac:dyDescent="0.2">
      <c r="A693" s="6" t="s">
        <v>244</v>
      </c>
      <c r="B693" s="4">
        <v>240</v>
      </c>
      <c r="C693" s="2" t="s">
        <v>2308</v>
      </c>
      <c r="D693" s="2" t="s">
        <v>3</v>
      </c>
      <c r="E693" s="7" t="s">
        <v>410</v>
      </c>
      <c r="F693" s="2">
        <v>255</v>
      </c>
    </row>
    <row r="694" spans="1:6" x14ac:dyDescent="0.2">
      <c r="A694" s="6" t="s">
        <v>311</v>
      </c>
      <c r="B694" s="4">
        <v>307</v>
      </c>
      <c r="C694" s="2" t="s">
        <v>2307</v>
      </c>
      <c r="D694" s="2" t="s">
        <v>2</v>
      </c>
      <c r="E694" s="5" t="s">
        <v>411</v>
      </c>
      <c r="F694" s="2">
        <v>199</v>
      </c>
    </row>
    <row r="695" spans="1:6" x14ac:dyDescent="0.2">
      <c r="A695" s="6" t="s">
        <v>263</v>
      </c>
      <c r="B695" s="4">
        <v>259</v>
      </c>
      <c r="C695" s="2" t="s">
        <v>2308</v>
      </c>
      <c r="D695" s="2" t="s">
        <v>4</v>
      </c>
      <c r="E695" s="7" t="s">
        <v>409</v>
      </c>
      <c r="F695" s="2">
        <v>212</v>
      </c>
    </row>
    <row r="696" spans="1:6" x14ac:dyDescent="0.2">
      <c r="A696" s="6" t="s">
        <v>224</v>
      </c>
      <c r="B696" s="4">
        <v>220</v>
      </c>
      <c r="C696" s="2" t="s">
        <v>2308</v>
      </c>
      <c r="D696" s="2" t="s">
        <v>3</v>
      </c>
      <c r="E696" s="6" t="s">
        <v>408</v>
      </c>
      <c r="F696" s="2">
        <v>137</v>
      </c>
    </row>
    <row r="697" spans="1:6" x14ac:dyDescent="0.2">
      <c r="A697" s="6" t="s">
        <v>356</v>
      </c>
      <c r="B697" s="4">
        <v>352</v>
      </c>
      <c r="C697" s="2" t="s">
        <v>2307</v>
      </c>
      <c r="D697" s="2" t="s">
        <v>4</v>
      </c>
      <c r="E697" s="5" t="s">
        <v>410</v>
      </c>
      <c r="F697" s="2">
        <v>255</v>
      </c>
    </row>
    <row r="698" spans="1:6" x14ac:dyDescent="0.2">
      <c r="A698" s="6" t="s">
        <v>54</v>
      </c>
      <c r="B698" s="4">
        <v>49</v>
      </c>
      <c r="C698" s="2" t="s">
        <v>2309</v>
      </c>
      <c r="D698" s="2" t="s">
        <v>3</v>
      </c>
      <c r="E698" s="5" t="s">
        <v>410</v>
      </c>
      <c r="F698" s="2">
        <v>181</v>
      </c>
    </row>
    <row r="699" spans="1:6" x14ac:dyDescent="0.2">
      <c r="A699" s="6" t="s">
        <v>337</v>
      </c>
      <c r="B699" s="4">
        <v>333</v>
      </c>
      <c r="C699" s="2" t="s">
        <v>2307</v>
      </c>
      <c r="D699" s="2" t="s">
        <v>3</v>
      </c>
      <c r="E699" s="5" t="s">
        <v>411</v>
      </c>
      <c r="F699" s="2">
        <v>184</v>
      </c>
    </row>
    <row r="700" spans="1:6" x14ac:dyDescent="0.2">
      <c r="A700" s="6" t="s">
        <v>105</v>
      </c>
      <c r="B700" s="4">
        <v>100</v>
      </c>
      <c r="C700" s="2" t="s">
        <v>2310</v>
      </c>
      <c r="D700" s="2" t="s">
        <v>2</v>
      </c>
      <c r="E700" s="5" t="s">
        <v>410</v>
      </c>
      <c r="F700" s="2">
        <v>222</v>
      </c>
    </row>
    <row r="701" spans="1:6" x14ac:dyDescent="0.2">
      <c r="A701" s="6" t="s">
        <v>116</v>
      </c>
      <c r="B701" s="4">
        <v>111</v>
      </c>
      <c r="C701" s="2" t="s">
        <v>2310</v>
      </c>
      <c r="D701" s="2" t="s">
        <v>2</v>
      </c>
      <c r="E701" s="5" t="s">
        <v>409</v>
      </c>
      <c r="F701" s="2">
        <v>171</v>
      </c>
    </row>
    <row r="702" spans="1:6" x14ac:dyDescent="0.2">
      <c r="A702" s="6" t="s">
        <v>121</v>
      </c>
      <c r="B702" s="4">
        <v>116</v>
      </c>
      <c r="C702" s="2" t="s">
        <v>2310</v>
      </c>
      <c r="D702" s="2" t="s">
        <v>2</v>
      </c>
      <c r="E702" s="5" t="s">
        <v>409</v>
      </c>
      <c r="F702" s="2">
        <v>266</v>
      </c>
    </row>
    <row r="703" spans="1:6" x14ac:dyDescent="0.2">
      <c r="A703" s="6" t="s">
        <v>51</v>
      </c>
      <c r="B703" s="4">
        <v>46</v>
      </c>
      <c r="C703" s="2" t="s">
        <v>2309</v>
      </c>
      <c r="D703" s="2" t="s">
        <v>3</v>
      </c>
      <c r="E703" s="5" t="s">
        <v>411</v>
      </c>
      <c r="F703" s="2">
        <v>176</v>
      </c>
    </row>
    <row r="704" spans="1:6" x14ac:dyDescent="0.2">
      <c r="A704" s="6" t="s">
        <v>284</v>
      </c>
      <c r="B704" s="4">
        <v>280</v>
      </c>
      <c r="C704" s="2" t="s">
        <v>2308</v>
      </c>
      <c r="D704" s="2" t="s">
        <v>5</v>
      </c>
      <c r="E704" s="5" t="s">
        <v>411</v>
      </c>
      <c r="F704" s="2">
        <v>262</v>
      </c>
    </row>
    <row r="705" spans="1:6" x14ac:dyDescent="0.2">
      <c r="A705" s="6" t="s">
        <v>397</v>
      </c>
      <c r="B705" s="4">
        <v>393</v>
      </c>
      <c r="C705" s="2" t="s">
        <v>2307</v>
      </c>
      <c r="D705" s="2" t="s">
        <v>5</v>
      </c>
      <c r="E705" s="5" t="s">
        <v>409</v>
      </c>
      <c r="F705" s="2">
        <v>264</v>
      </c>
    </row>
    <row r="706" spans="1:6" x14ac:dyDescent="0.2">
      <c r="A706" s="6" t="s">
        <v>135</v>
      </c>
      <c r="B706" s="4">
        <v>130</v>
      </c>
      <c r="C706" s="2" t="s">
        <v>2310</v>
      </c>
      <c r="D706" s="2" t="s">
        <v>3</v>
      </c>
      <c r="E706" s="5" t="s">
        <v>412</v>
      </c>
      <c r="F706" s="2">
        <v>263</v>
      </c>
    </row>
    <row r="707" spans="1:6" x14ac:dyDescent="0.2">
      <c r="A707" s="6" t="s">
        <v>382</v>
      </c>
      <c r="B707" s="4">
        <v>378</v>
      </c>
      <c r="C707" s="2" t="s">
        <v>2307</v>
      </c>
      <c r="D707" s="2" t="s">
        <v>5</v>
      </c>
      <c r="E707" s="5" t="s">
        <v>410</v>
      </c>
      <c r="F707" s="2">
        <v>229</v>
      </c>
    </row>
    <row r="708" spans="1:6" x14ac:dyDescent="0.2">
      <c r="A708" s="6" t="s">
        <v>354</v>
      </c>
      <c r="B708" s="4">
        <v>350</v>
      </c>
      <c r="C708" s="2" t="s">
        <v>2307</v>
      </c>
      <c r="D708" s="2" t="s">
        <v>3</v>
      </c>
      <c r="E708" s="5" t="s">
        <v>411</v>
      </c>
      <c r="F708" s="2">
        <v>288</v>
      </c>
    </row>
    <row r="709" spans="1:6" x14ac:dyDescent="0.2">
      <c r="A709" s="6" t="s">
        <v>50</v>
      </c>
      <c r="B709" s="4">
        <v>45</v>
      </c>
      <c r="C709" s="2" t="s">
        <v>2309</v>
      </c>
      <c r="D709" s="2" t="s">
        <v>3</v>
      </c>
      <c r="E709" s="5" t="s">
        <v>409</v>
      </c>
      <c r="F709" s="2">
        <v>222</v>
      </c>
    </row>
    <row r="710" spans="1:6" x14ac:dyDescent="0.2">
      <c r="A710" s="6" t="s">
        <v>327</v>
      </c>
      <c r="B710" s="4">
        <v>323</v>
      </c>
      <c r="C710" s="2" t="s">
        <v>2307</v>
      </c>
      <c r="D710" s="2" t="s">
        <v>2</v>
      </c>
      <c r="E710" s="5" t="s">
        <v>410</v>
      </c>
      <c r="F710" s="2">
        <v>290</v>
      </c>
    </row>
    <row r="711" spans="1:6" x14ac:dyDescent="0.2">
      <c r="A711" s="6" t="s">
        <v>185</v>
      </c>
      <c r="B711" s="4">
        <v>180</v>
      </c>
      <c r="C711" s="2" t="s">
        <v>2310</v>
      </c>
      <c r="D711" s="2" t="s">
        <v>5</v>
      </c>
      <c r="E711" s="6" t="s">
        <v>408</v>
      </c>
      <c r="F711" s="2">
        <v>215</v>
      </c>
    </row>
    <row r="712" spans="1:6" x14ac:dyDescent="0.2">
      <c r="A712" s="6" t="s">
        <v>206</v>
      </c>
      <c r="B712" s="4">
        <v>202</v>
      </c>
      <c r="C712" s="2" t="s">
        <v>2308</v>
      </c>
      <c r="D712" s="2" t="s">
        <v>2</v>
      </c>
      <c r="E712" s="5" t="s">
        <v>410</v>
      </c>
      <c r="F712" s="2">
        <v>168</v>
      </c>
    </row>
    <row r="713" spans="1:6" x14ac:dyDescent="0.2">
      <c r="A713" s="6" t="s">
        <v>400</v>
      </c>
      <c r="B713" s="4">
        <v>396</v>
      </c>
      <c r="C713" s="2" t="s">
        <v>2307</v>
      </c>
      <c r="D713" s="2" t="s">
        <v>5</v>
      </c>
      <c r="E713" s="5" t="s">
        <v>408</v>
      </c>
      <c r="F713" s="2">
        <v>154</v>
      </c>
    </row>
    <row r="714" spans="1:6" x14ac:dyDescent="0.2">
      <c r="A714" s="6" t="s">
        <v>202</v>
      </c>
      <c r="B714" s="4">
        <v>198</v>
      </c>
      <c r="C714" s="2" t="s">
        <v>2308</v>
      </c>
      <c r="D714" s="2" t="s">
        <v>2</v>
      </c>
      <c r="E714" s="5" t="s">
        <v>410</v>
      </c>
      <c r="F714" s="2">
        <v>223</v>
      </c>
    </row>
    <row r="715" spans="1:6" x14ac:dyDescent="0.2">
      <c r="A715" s="6" t="s">
        <v>33</v>
      </c>
      <c r="B715" s="4">
        <v>28</v>
      </c>
      <c r="C715" s="2" t="s">
        <v>2309</v>
      </c>
      <c r="D715" s="2" t="s">
        <v>2</v>
      </c>
      <c r="E715" s="5" t="s">
        <v>408</v>
      </c>
      <c r="F715" s="2">
        <v>234</v>
      </c>
    </row>
    <row r="716" spans="1:6" x14ac:dyDescent="0.2">
      <c r="A716" s="6" t="s">
        <v>266</v>
      </c>
      <c r="B716" s="4">
        <v>262</v>
      </c>
      <c r="C716" s="2" t="s">
        <v>2308</v>
      </c>
      <c r="D716" s="2" t="s">
        <v>4</v>
      </c>
      <c r="E716" s="5" t="s">
        <v>410</v>
      </c>
      <c r="F716" s="2">
        <v>262</v>
      </c>
    </row>
    <row r="717" spans="1:6" x14ac:dyDescent="0.2">
      <c r="A717" s="6" t="s">
        <v>94</v>
      </c>
      <c r="B717" s="4">
        <v>89</v>
      </c>
      <c r="C717" s="2" t="s">
        <v>2309</v>
      </c>
      <c r="D717" s="2" t="s">
        <v>5</v>
      </c>
      <c r="E717" s="5" t="s">
        <v>410</v>
      </c>
      <c r="F717" s="2">
        <v>242</v>
      </c>
    </row>
    <row r="718" spans="1:6" x14ac:dyDescent="0.2">
      <c r="A718" s="6" t="s">
        <v>114</v>
      </c>
      <c r="B718" s="4">
        <v>109</v>
      </c>
      <c r="C718" s="2" t="s">
        <v>2310</v>
      </c>
      <c r="D718" s="2" t="s">
        <v>2</v>
      </c>
      <c r="E718" s="5" t="s">
        <v>409</v>
      </c>
      <c r="F718" s="2">
        <v>229</v>
      </c>
    </row>
    <row r="719" spans="1:6" x14ac:dyDescent="0.2">
      <c r="A719" s="6" t="s">
        <v>389</v>
      </c>
      <c r="B719" s="4">
        <v>385</v>
      </c>
      <c r="C719" s="2" t="s">
        <v>2307</v>
      </c>
      <c r="D719" s="2" t="s">
        <v>5</v>
      </c>
      <c r="E719" s="5" t="s">
        <v>410</v>
      </c>
      <c r="F719" s="2">
        <v>130</v>
      </c>
    </row>
    <row r="720" spans="1:6" x14ac:dyDescent="0.2">
      <c r="A720" s="6" t="s">
        <v>399</v>
      </c>
      <c r="B720" s="4">
        <v>395</v>
      </c>
      <c r="C720" s="2" t="s">
        <v>2307</v>
      </c>
      <c r="D720" s="2" t="s">
        <v>5</v>
      </c>
      <c r="E720" s="5" t="s">
        <v>412</v>
      </c>
      <c r="F720" s="2">
        <v>208</v>
      </c>
    </row>
    <row r="721" spans="1:6" x14ac:dyDescent="0.2">
      <c r="A721" s="6" t="s">
        <v>36</v>
      </c>
      <c r="B721" s="4">
        <v>31</v>
      </c>
      <c r="C721" s="2" t="s">
        <v>2309</v>
      </c>
      <c r="D721" s="2" t="s">
        <v>3</v>
      </c>
      <c r="E721" s="5" t="s">
        <v>412</v>
      </c>
      <c r="F721" s="2">
        <v>228</v>
      </c>
    </row>
    <row r="722" spans="1:6" x14ac:dyDescent="0.2">
      <c r="A722" s="6" t="s">
        <v>240</v>
      </c>
      <c r="B722" s="4">
        <v>236</v>
      </c>
      <c r="C722" s="2" t="s">
        <v>2308</v>
      </c>
      <c r="D722" s="2" t="s">
        <v>3</v>
      </c>
      <c r="E722" s="7" t="s">
        <v>411</v>
      </c>
      <c r="F722" s="2">
        <v>205</v>
      </c>
    </row>
    <row r="723" spans="1:6" x14ac:dyDescent="0.2">
      <c r="A723" s="6" t="s">
        <v>126</v>
      </c>
      <c r="B723" s="4">
        <v>121</v>
      </c>
      <c r="C723" s="2" t="s">
        <v>2310</v>
      </c>
      <c r="D723" s="2" t="s">
        <v>3</v>
      </c>
      <c r="E723" s="7" t="s">
        <v>409</v>
      </c>
      <c r="F723" s="2">
        <v>218</v>
      </c>
    </row>
    <row r="724" spans="1:6" x14ac:dyDescent="0.2">
      <c r="A724" s="6" t="s">
        <v>123</v>
      </c>
      <c r="B724" s="4">
        <v>118</v>
      </c>
      <c r="C724" s="2" t="s">
        <v>2310</v>
      </c>
      <c r="D724" s="2" t="s">
        <v>2</v>
      </c>
      <c r="E724" s="5" t="s">
        <v>408</v>
      </c>
      <c r="F724" s="2">
        <v>150</v>
      </c>
    </row>
    <row r="725" spans="1:6" x14ac:dyDescent="0.2">
      <c r="A725" s="6" t="s">
        <v>35</v>
      </c>
      <c r="B725" s="4">
        <v>30</v>
      </c>
      <c r="C725" s="2" t="s">
        <v>2309</v>
      </c>
      <c r="D725" s="2" t="s">
        <v>3</v>
      </c>
      <c r="E725" s="5" t="s">
        <v>412</v>
      </c>
      <c r="F725" s="2">
        <v>144</v>
      </c>
    </row>
    <row r="726" spans="1:6" x14ac:dyDescent="0.2">
      <c r="A726" s="6" t="s">
        <v>285</v>
      </c>
      <c r="B726" s="4">
        <v>281</v>
      </c>
      <c r="C726" s="2" t="s">
        <v>2308</v>
      </c>
      <c r="D726" s="2" t="s">
        <v>5</v>
      </c>
      <c r="E726" s="6" t="s">
        <v>408</v>
      </c>
      <c r="F726" s="2">
        <v>151</v>
      </c>
    </row>
    <row r="727" spans="1:6" x14ac:dyDescent="0.2">
      <c r="A727" s="6" t="s">
        <v>127</v>
      </c>
      <c r="B727" s="4">
        <v>122</v>
      </c>
      <c r="C727" s="2" t="s">
        <v>2310</v>
      </c>
      <c r="D727" s="2" t="s">
        <v>3</v>
      </c>
      <c r="E727" s="7" t="s">
        <v>411</v>
      </c>
      <c r="F727" s="2">
        <v>128</v>
      </c>
    </row>
    <row r="728" spans="1:6" x14ac:dyDescent="0.2">
      <c r="A728" s="6" t="s">
        <v>158</v>
      </c>
      <c r="B728" s="4">
        <v>153</v>
      </c>
      <c r="C728" s="2" t="s">
        <v>2310</v>
      </c>
      <c r="D728" s="2" t="s">
        <v>4</v>
      </c>
      <c r="E728" s="6" t="s">
        <v>408</v>
      </c>
      <c r="F728" s="2">
        <v>160</v>
      </c>
    </row>
    <row r="729" spans="1:6" x14ac:dyDescent="0.2">
      <c r="A729" s="6" t="s">
        <v>195</v>
      </c>
      <c r="B729" s="4">
        <v>191</v>
      </c>
      <c r="C729" s="2" t="s">
        <v>2310</v>
      </c>
      <c r="D729" s="2" t="s">
        <v>5</v>
      </c>
      <c r="E729" s="7" t="s">
        <v>410</v>
      </c>
      <c r="F729" s="2">
        <v>134</v>
      </c>
    </row>
    <row r="730" spans="1:6" x14ac:dyDescent="0.2">
      <c r="A730" s="6" t="s">
        <v>175</v>
      </c>
      <c r="B730" s="4">
        <v>170</v>
      </c>
      <c r="C730" s="2" t="s">
        <v>2310</v>
      </c>
      <c r="D730" s="2" t="s">
        <v>5</v>
      </c>
      <c r="E730" s="6" t="s">
        <v>408</v>
      </c>
      <c r="F730" s="2">
        <v>140</v>
      </c>
    </row>
    <row r="731" spans="1:6" x14ac:dyDescent="0.2">
      <c r="A731" s="6" t="s">
        <v>327</v>
      </c>
      <c r="B731" s="4">
        <v>323</v>
      </c>
      <c r="C731" s="2" t="s">
        <v>2307</v>
      </c>
      <c r="D731" s="2" t="s">
        <v>2</v>
      </c>
      <c r="E731" s="5" t="s">
        <v>409</v>
      </c>
      <c r="F731" s="2">
        <v>167</v>
      </c>
    </row>
    <row r="732" spans="1:6" x14ac:dyDescent="0.2">
      <c r="A732" s="6" t="s">
        <v>335</v>
      </c>
      <c r="B732" s="4">
        <v>331</v>
      </c>
      <c r="C732" s="2" t="s">
        <v>2307</v>
      </c>
      <c r="D732" s="2" t="s">
        <v>3</v>
      </c>
      <c r="E732" s="5" t="s">
        <v>409</v>
      </c>
      <c r="F732" s="2">
        <v>132</v>
      </c>
    </row>
    <row r="733" spans="1:6" x14ac:dyDescent="0.2">
      <c r="A733" s="6" t="s">
        <v>120</v>
      </c>
      <c r="B733" s="4">
        <v>115</v>
      </c>
      <c r="C733" s="2" t="s">
        <v>2310</v>
      </c>
      <c r="D733" s="2" t="s">
        <v>2</v>
      </c>
      <c r="E733" s="5" t="s">
        <v>411</v>
      </c>
      <c r="F733" s="2">
        <v>241</v>
      </c>
    </row>
    <row r="734" spans="1:6" x14ac:dyDescent="0.2">
      <c r="A734" s="6" t="s">
        <v>112</v>
      </c>
      <c r="B734" s="4">
        <v>107</v>
      </c>
      <c r="C734" s="2" t="s">
        <v>2310</v>
      </c>
      <c r="D734" s="2" t="s">
        <v>2</v>
      </c>
      <c r="E734" s="5" t="s">
        <v>412</v>
      </c>
      <c r="F734" s="2">
        <v>125</v>
      </c>
    </row>
    <row r="735" spans="1:6" x14ac:dyDescent="0.2">
      <c r="A735" s="6" t="s">
        <v>290</v>
      </c>
      <c r="B735" s="4">
        <v>286</v>
      </c>
      <c r="C735" s="2" t="s">
        <v>2308</v>
      </c>
      <c r="D735" s="2" t="s">
        <v>5</v>
      </c>
      <c r="E735" s="5" t="s">
        <v>409</v>
      </c>
      <c r="F735" s="2">
        <v>149</v>
      </c>
    </row>
    <row r="736" spans="1:6" x14ac:dyDescent="0.2">
      <c r="A736" s="6" t="s">
        <v>59</v>
      </c>
      <c r="B736" s="4">
        <v>54</v>
      </c>
      <c r="C736" s="2" t="s">
        <v>2309</v>
      </c>
      <c r="D736" s="2" t="s">
        <v>4</v>
      </c>
      <c r="E736" s="5" t="s">
        <v>412</v>
      </c>
      <c r="F736" s="2">
        <v>210</v>
      </c>
    </row>
    <row r="737" spans="1:6" x14ac:dyDescent="0.2">
      <c r="A737" s="6" t="s">
        <v>405</v>
      </c>
      <c r="B737" s="4">
        <v>401</v>
      </c>
      <c r="C737" s="2" t="s">
        <v>2307</v>
      </c>
      <c r="D737" s="2" t="s">
        <v>5</v>
      </c>
      <c r="E737" s="5" t="s">
        <v>409</v>
      </c>
      <c r="F737" s="2">
        <v>249</v>
      </c>
    </row>
    <row r="738" spans="1:6" x14ac:dyDescent="0.2">
      <c r="A738" s="6" t="s">
        <v>169</v>
      </c>
      <c r="B738" s="4">
        <v>164</v>
      </c>
      <c r="C738" s="2" t="s">
        <v>2310</v>
      </c>
      <c r="D738" s="2" t="s">
        <v>4</v>
      </c>
      <c r="E738" s="6" t="s">
        <v>408</v>
      </c>
      <c r="F738" s="2">
        <v>260</v>
      </c>
    </row>
    <row r="739" spans="1:6" x14ac:dyDescent="0.2">
      <c r="A739" s="6" t="s">
        <v>205</v>
      </c>
      <c r="B739" s="4">
        <v>201</v>
      </c>
      <c r="C739" s="2" t="s">
        <v>2308</v>
      </c>
      <c r="D739" s="2" t="s">
        <v>2</v>
      </c>
      <c r="E739" s="6" t="s">
        <v>408</v>
      </c>
      <c r="F739" s="2">
        <v>262</v>
      </c>
    </row>
    <row r="740" spans="1:6" x14ac:dyDescent="0.2">
      <c r="A740" s="6" t="s">
        <v>17</v>
      </c>
      <c r="B740" s="4">
        <v>12</v>
      </c>
      <c r="C740" s="2" t="s">
        <v>2309</v>
      </c>
      <c r="D740" s="2" t="s">
        <v>2</v>
      </c>
      <c r="E740" s="5" t="s">
        <v>412</v>
      </c>
      <c r="F740" s="2">
        <v>160</v>
      </c>
    </row>
    <row r="741" spans="1:6" x14ac:dyDescent="0.2">
      <c r="A741" s="6" t="s">
        <v>186</v>
      </c>
      <c r="B741" s="4">
        <v>181</v>
      </c>
      <c r="C741" s="2" t="s">
        <v>2310</v>
      </c>
      <c r="D741" s="2" t="s">
        <v>5</v>
      </c>
      <c r="E741" s="6" t="s">
        <v>408</v>
      </c>
      <c r="F741" s="2">
        <v>216</v>
      </c>
    </row>
    <row r="742" spans="1:6" x14ac:dyDescent="0.2">
      <c r="A742" s="6" t="s">
        <v>9</v>
      </c>
      <c r="B742" s="4">
        <v>4</v>
      </c>
      <c r="C742" s="2" t="s">
        <v>2309</v>
      </c>
      <c r="D742" s="2" t="s">
        <v>2</v>
      </c>
      <c r="E742" s="5" t="s">
        <v>412</v>
      </c>
      <c r="F742" s="2">
        <v>276</v>
      </c>
    </row>
    <row r="743" spans="1:6" x14ac:dyDescent="0.2">
      <c r="A743" s="6" t="s">
        <v>271</v>
      </c>
      <c r="B743" s="4">
        <v>267</v>
      </c>
      <c r="C743" s="2" t="s">
        <v>2308</v>
      </c>
      <c r="D743" s="2" t="s">
        <v>4</v>
      </c>
      <c r="E743" s="5" t="s">
        <v>410</v>
      </c>
      <c r="F743" s="2">
        <v>150</v>
      </c>
    </row>
    <row r="744" spans="1:6" x14ac:dyDescent="0.2">
      <c r="A744" s="6" t="s">
        <v>223</v>
      </c>
      <c r="B744" s="4">
        <v>219</v>
      </c>
      <c r="C744" s="2" t="s">
        <v>2308</v>
      </c>
      <c r="D744" s="2" t="s">
        <v>3</v>
      </c>
      <c r="E744" s="5" t="s">
        <v>412</v>
      </c>
      <c r="F744" s="2">
        <v>247</v>
      </c>
    </row>
    <row r="745" spans="1:6" x14ac:dyDescent="0.2">
      <c r="A745" s="6" t="s">
        <v>220</v>
      </c>
      <c r="B745" s="4">
        <v>216</v>
      </c>
      <c r="C745" s="2" t="s">
        <v>2308</v>
      </c>
      <c r="D745" s="2" t="s">
        <v>3</v>
      </c>
      <c r="E745" s="7" t="s">
        <v>409</v>
      </c>
      <c r="F745" s="2">
        <v>138</v>
      </c>
    </row>
    <row r="746" spans="1:6" x14ac:dyDescent="0.2">
      <c r="A746" s="6" t="s">
        <v>200</v>
      </c>
      <c r="B746" s="4">
        <v>196</v>
      </c>
      <c r="C746" s="2" t="s">
        <v>2308</v>
      </c>
      <c r="D746" s="2" t="s">
        <v>2</v>
      </c>
      <c r="E746" s="5" t="s">
        <v>410</v>
      </c>
      <c r="F746" s="2">
        <v>273</v>
      </c>
    </row>
    <row r="747" spans="1:6" x14ac:dyDescent="0.2">
      <c r="A747" s="6" t="s">
        <v>289</v>
      </c>
      <c r="B747" s="4">
        <v>285</v>
      </c>
      <c r="C747" s="2" t="s">
        <v>2308</v>
      </c>
      <c r="D747" s="2" t="s">
        <v>5</v>
      </c>
      <c r="E747" s="5" t="s">
        <v>410</v>
      </c>
      <c r="F747" s="2">
        <v>164</v>
      </c>
    </row>
    <row r="748" spans="1:6" x14ac:dyDescent="0.2">
      <c r="A748" s="6" t="s">
        <v>60</v>
      </c>
      <c r="B748" s="4">
        <v>55</v>
      </c>
      <c r="C748" s="2" t="s">
        <v>2309</v>
      </c>
      <c r="D748" s="2" t="s">
        <v>4</v>
      </c>
      <c r="E748" s="5" t="s">
        <v>408</v>
      </c>
      <c r="F748" s="2">
        <v>155</v>
      </c>
    </row>
    <row r="749" spans="1:6" x14ac:dyDescent="0.2">
      <c r="A749" s="6" t="s">
        <v>82</v>
      </c>
      <c r="B749" s="4">
        <v>77</v>
      </c>
      <c r="C749" s="2" t="s">
        <v>2309</v>
      </c>
      <c r="D749" s="2" t="s">
        <v>5</v>
      </c>
      <c r="E749" s="5" t="s">
        <v>408</v>
      </c>
      <c r="F749" s="2">
        <v>148</v>
      </c>
    </row>
    <row r="750" spans="1:6" x14ac:dyDescent="0.2">
      <c r="A750" s="6" t="s">
        <v>180</v>
      </c>
      <c r="B750" s="4">
        <v>175</v>
      </c>
      <c r="C750" s="2" t="s">
        <v>2310</v>
      </c>
      <c r="D750" s="2" t="s">
        <v>5</v>
      </c>
      <c r="E750" s="7" t="s">
        <v>409</v>
      </c>
      <c r="F750" s="2">
        <v>218</v>
      </c>
    </row>
    <row r="751" spans="1:6" x14ac:dyDescent="0.2">
      <c r="A751" s="6" t="s">
        <v>99</v>
      </c>
      <c r="B751" s="4">
        <v>94</v>
      </c>
      <c r="C751" s="2" t="s">
        <v>2309</v>
      </c>
      <c r="D751" s="2" t="s">
        <v>5</v>
      </c>
      <c r="E751" s="5" t="s">
        <v>409</v>
      </c>
      <c r="F751" s="2">
        <v>185</v>
      </c>
    </row>
    <row r="752" spans="1:6" x14ac:dyDescent="0.2">
      <c r="A752" s="6" t="s">
        <v>62</v>
      </c>
      <c r="B752" s="4">
        <v>57</v>
      </c>
      <c r="C752" s="2" t="s">
        <v>2309</v>
      </c>
      <c r="D752" s="2" t="s">
        <v>4</v>
      </c>
      <c r="E752" s="5" t="s">
        <v>412</v>
      </c>
      <c r="F752" s="2">
        <v>165</v>
      </c>
    </row>
    <row r="753" spans="1:6" x14ac:dyDescent="0.2">
      <c r="A753" s="6" t="s">
        <v>303</v>
      </c>
      <c r="B753" s="4">
        <v>299</v>
      </c>
      <c r="C753" s="2" t="s">
        <v>2307</v>
      </c>
      <c r="D753" s="2" t="s">
        <v>2</v>
      </c>
      <c r="E753" s="5" t="s">
        <v>412</v>
      </c>
      <c r="F753" s="2">
        <v>200</v>
      </c>
    </row>
    <row r="754" spans="1:6" x14ac:dyDescent="0.2">
      <c r="A754" s="6" t="s">
        <v>120</v>
      </c>
      <c r="B754" s="4">
        <v>115</v>
      </c>
      <c r="C754" s="2" t="s">
        <v>2310</v>
      </c>
      <c r="D754" s="2" t="s">
        <v>2</v>
      </c>
      <c r="E754" s="5" t="s">
        <v>409</v>
      </c>
      <c r="F754" s="2">
        <v>134</v>
      </c>
    </row>
    <row r="755" spans="1:6" x14ac:dyDescent="0.2">
      <c r="A755" s="6" t="s">
        <v>134</v>
      </c>
      <c r="B755" s="4">
        <v>129</v>
      </c>
      <c r="C755" s="2" t="s">
        <v>2310</v>
      </c>
      <c r="D755" s="2" t="s">
        <v>3</v>
      </c>
      <c r="E755" s="6" t="s">
        <v>408</v>
      </c>
      <c r="F755" s="2">
        <v>159</v>
      </c>
    </row>
    <row r="756" spans="1:6" x14ac:dyDescent="0.2">
      <c r="A756" s="6" t="s">
        <v>307</v>
      </c>
      <c r="B756" s="4">
        <v>303</v>
      </c>
      <c r="C756" s="2" t="s">
        <v>2307</v>
      </c>
      <c r="D756" s="2" t="s">
        <v>2</v>
      </c>
      <c r="E756" s="5" t="s">
        <v>409</v>
      </c>
      <c r="F756" s="2">
        <v>276</v>
      </c>
    </row>
    <row r="757" spans="1:6" x14ac:dyDescent="0.2">
      <c r="A757" s="6" t="s">
        <v>344</v>
      </c>
      <c r="B757" s="4">
        <v>340</v>
      </c>
      <c r="C757" s="2" t="s">
        <v>2307</v>
      </c>
      <c r="D757" s="2" t="s">
        <v>3</v>
      </c>
      <c r="E757" s="5" t="s">
        <v>412</v>
      </c>
      <c r="F757" s="2">
        <v>286</v>
      </c>
    </row>
    <row r="758" spans="1:6" x14ac:dyDescent="0.2">
      <c r="A758" s="6" t="s">
        <v>90</v>
      </c>
      <c r="B758" s="4">
        <v>85</v>
      </c>
      <c r="C758" s="2" t="s">
        <v>2309</v>
      </c>
      <c r="D758" s="2" t="s">
        <v>5</v>
      </c>
      <c r="E758" s="5" t="s">
        <v>409</v>
      </c>
      <c r="F758" s="2">
        <v>263</v>
      </c>
    </row>
    <row r="759" spans="1:6" x14ac:dyDescent="0.2">
      <c r="A759" s="6" t="s">
        <v>104</v>
      </c>
      <c r="B759" s="4">
        <v>99</v>
      </c>
      <c r="C759" s="2" t="s">
        <v>2310</v>
      </c>
      <c r="D759" s="2" t="s">
        <v>2</v>
      </c>
      <c r="E759" s="5" t="s">
        <v>412</v>
      </c>
      <c r="F759" s="2">
        <v>297</v>
      </c>
    </row>
    <row r="760" spans="1:6" x14ac:dyDescent="0.2">
      <c r="A760" s="6" t="s">
        <v>113</v>
      </c>
      <c r="B760" s="4">
        <v>108</v>
      </c>
      <c r="C760" s="2" t="s">
        <v>2310</v>
      </c>
      <c r="D760" s="2" t="s">
        <v>2</v>
      </c>
      <c r="E760" s="5" t="s">
        <v>411</v>
      </c>
      <c r="F760" s="2">
        <v>161</v>
      </c>
    </row>
    <row r="761" spans="1:6" x14ac:dyDescent="0.2">
      <c r="A761" s="6" t="s">
        <v>288</v>
      </c>
      <c r="B761" s="4">
        <v>284</v>
      </c>
      <c r="C761" s="2" t="s">
        <v>2308</v>
      </c>
      <c r="D761" s="2" t="s">
        <v>5</v>
      </c>
      <c r="E761" s="6" t="s">
        <v>408</v>
      </c>
      <c r="F761" s="2">
        <v>172</v>
      </c>
    </row>
    <row r="762" spans="1:6" x14ac:dyDescent="0.2">
      <c r="A762" s="6" t="s">
        <v>99</v>
      </c>
      <c r="B762" s="4">
        <v>94</v>
      </c>
      <c r="C762" s="2" t="s">
        <v>2309</v>
      </c>
      <c r="D762" s="2" t="s">
        <v>5</v>
      </c>
      <c r="E762" s="5" t="s">
        <v>408</v>
      </c>
      <c r="F762" s="2">
        <v>270</v>
      </c>
    </row>
    <row r="763" spans="1:6" x14ac:dyDescent="0.2">
      <c r="A763" s="6" t="s">
        <v>95</v>
      </c>
      <c r="B763" s="4">
        <v>90</v>
      </c>
      <c r="C763" s="2" t="s">
        <v>2309</v>
      </c>
      <c r="D763" s="2" t="s">
        <v>5</v>
      </c>
      <c r="E763" s="5" t="s">
        <v>409</v>
      </c>
      <c r="F763" s="2">
        <v>255</v>
      </c>
    </row>
    <row r="764" spans="1:6" x14ac:dyDescent="0.2">
      <c r="A764" s="6" t="s">
        <v>129</v>
      </c>
      <c r="B764" s="4">
        <v>124</v>
      </c>
      <c r="C764" s="2" t="s">
        <v>2310</v>
      </c>
      <c r="D764" s="2" t="s">
        <v>3</v>
      </c>
      <c r="E764" s="5" t="s">
        <v>412</v>
      </c>
      <c r="F764" s="2">
        <v>148</v>
      </c>
    </row>
    <row r="765" spans="1:6" x14ac:dyDescent="0.2">
      <c r="A765" s="6" t="s">
        <v>255</v>
      </c>
      <c r="B765" s="4">
        <v>251</v>
      </c>
      <c r="C765" s="2" t="s">
        <v>2308</v>
      </c>
      <c r="D765" s="2" t="s">
        <v>4</v>
      </c>
      <c r="E765" s="5" t="s">
        <v>411</v>
      </c>
      <c r="F765" s="2">
        <v>296</v>
      </c>
    </row>
    <row r="766" spans="1:6" x14ac:dyDescent="0.2">
      <c r="A766" s="6" t="s">
        <v>42</v>
      </c>
      <c r="B766" s="4">
        <v>37</v>
      </c>
      <c r="C766" s="2" t="s">
        <v>2309</v>
      </c>
      <c r="D766" s="2" t="s">
        <v>3</v>
      </c>
      <c r="E766" s="5" t="s">
        <v>412</v>
      </c>
      <c r="F766" s="2">
        <v>255</v>
      </c>
    </row>
    <row r="767" spans="1:6" x14ac:dyDescent="0.2">
      <c r="A767" s="6" t="s">
        <v>342</v>
      </c>
      <c r="B767" s="4">
        <v>338</v>
      </c>
      <c r="C767" s="2" t="s">
        <v>2307</v>
      </c>
      <c r="D767" s="2" t="s">
        <v>3</v>
      </c>
      <c r="E767" s="5" t="s">
        <v>411</v>
      </c>
      <c r="F767" s="2">
        <v>142</v>
      </c>
    </row>
    <row r="768" spans="1:6" x14ac:dyDescent="0.2">
      <c r="A768" s="6" t="s">
        <v>150</v>
      </c>
      <c r="B768" s="4">
        <v>145</v>
      </c>
      <c r="C768" s="2" t="s">
        <v>2310</v>
      </c>
      <c r="D768" s="2" t="s">
        <v>4</v>
      </c>
      <c r="E768" s="5" t="s">
        <v>410</v>
      </c>
      <c r="F768" s="2">
        <v>134</v>
      </c>
    </row>
    <row r="769" spans="1:6" x14ac:dyDescent="0.2">
      <c r="A769" s="6" t="s">
        <v>366</v>
      </c>
      <c r="B769" s="4">
        <v>362</v>
      </c>
      <c r="C769" s="2" t="s">
        <v>2307</v>
      </c>
      <c r="D769" s="2" t="s">
        <v>4</v>
      </c>
      <c r="E769" s="5" t="s">
        <v>412</v>
      </c>
      <c r="F769" s="2">
        <v>279</v>
      </c>
    </row>
    <row r="770" spans="1:6" x14ac:dyDescent="0.2">
      <c r="A770" s="6" t="s">
        <v>41</v>
      </c>
      <c r="B770" s="4">
        <v>36</v>
      </c>
      <c r="C770" s="2" t="s">
        <v>2309</v>
      </c>
      <c r="D770" s="2" t="s">
        <v>3</v>
      </c>
      <c r="E770" s="5" t="s">
        <v>408</v>
      </c>
      <c r="F770" s="2">
        <v>171</v>
      </c>
    </row>
    <row r="771" spans="1:6" x14ac:dyDescent="0.2">
      <c r="A771" s="6" t="s">
        <v>198</v>
      </c>
      <c r="B771" s="4">
        <v>194</v>
      </c>
      <c r="C771" s="2" t="s">
        <v>2308</v>
      </c>
      <c r="D771" s="2" t="s">
        <v>2</v>
      </c>
      <c r="E771" s="5" t="s">
        <v>410</v>
      </c>
      <c r="F771" s="2">
        <v>198</v>
      </c>
    </row>
    <row r="772" spans="1:6" x14ac:dyDescent="0.2">
      <c r="A772" s="6" t="s">
        <v>318</v>
      </c>
      <c r="B772" s="4">
        <v>314</v>
      </c>
      <c r="C772" s="2" t="s">
        <v>2307</v>
      </c>
      <c r="D772" s="2" t="s">
        <v>2</v>
      </c>
      <c r="E772" s="5" t="s">
        <v>410</v>
      </c>
      <c r="F772" s="2">
        <v>126</v>
      </c>
    </row>
    <row r="773" spans="1:6" x14ac:dyDescent="0.2">
      <c r="A773" s="6" t="s">
        <v>305</v>
      </c>
      <c r="B773" s="4">
        <v>301</v>
      </c>
      <c r="C773" s="2" t="s">
        <v>2307</v>
      </c>
      <c r="D773" s="2" t="s">
        <v>2</v>
      </c>
      <c r="E773" s="5" t="s">
        <v>411</v>
      </c>
      <c r="F773" s="2">
        <v>192</v>
      </c>
    </row>
    <row r="774" spans="1:6" x14ac:dyDescent="0.2">
      <c r="A774" s="6" t="s">
        <v>365</v>
      </c>
      <c r="B774" s="4">
        <v>361</v>
      </c>
      <c r="C774" s="2" t="s">
        <v>2307</v>
      </c>
      <c r="D774" s="2" t="s">
        <v>4</v>
      </c>
      <c r="E774" s="5" t="s">
        <v>411</v>
      </c>
      <c r="F774" s="2">
        <v>191</v>
      </c>
    </row>
    <row r="775" spans="1:6" x14ac:dyDescent="0.2">
      <c r="A775" s="6" t="s">
        <v>305</v>
      </c>
      <c r="B775" s="4">
        <v>301</v>
      </c>
      <c r="C775" s="2" t="s">
        <v>2307</v>
      </c>
      <c r="D775" s="2" t="s">
        <v>2</v>
      </c>
      <c r="E775" s="5" t="s">
        <v>409</v>
      </c>
      <c r="F775" s="2">
        <v>229</v>
      </c>
    </row>
    <row r="776" spans="1:6" x14ac:dyDescent="0.2">
      <c r="A776" s="6" t="s">
        <v>347</v>
      </c>
      <c r="B776" s="4">
        <v>343</v>
      </c>
      <c r="C776" s="2" t="s">
        <v>2307</v>
      </c>
      <c r="D776" s="2" t="s">
        <v>3</v>
      </c>
      <c r="E776" s="5" t="s">
        <v>412</v>
      </c>
      <c r="F776" s="2">
        <v>148</v>
      </c>
    </row>
    <row r="777" spans="1:6" x14ac:dyDescent="0.2">
      <c r="A777" s="6" t="s">
        <v>20</v>
      </c>
      <c r="B777" s="4">
        <v>15</v>
      </c>
      <c r="C777" s="2" t="s">
        <v>2309</v>
      </c>
      <c r="D777" s="2" t="s">
        <v>2</v>
      </c>
      <c r="E777" s="5" t="s">
        <v>411</v>
      </c>
      <c r="F777" s="2">
        <v>150</v>
      </c>
    </row>
    <row r="778" spans="1:6" x14ac:dyDescent="0.2">
      <c r="A778" s="6" t="s">
        <v>147</v>
      </c>
      <c r="B778" s="4">
        <v>142</v>
      </c>
      <c r="C778" s="2" t="s">
        <v>2310</v>
      </c>
      <c r="D778" s="2" t="s">
        <v>4</v>
      </c>
      <c r="E778" s="5" t="s">
        <v>410</v>
      </c>
      <c r="F778" s="2">
        <v>139</v>
      </c>
    </row>
    <row r="779" spans="1:6" x14ac:dyDescent="0.2">
      <c r="A779" s="6" t="s">
        <v>358</v>
      </c>
      <c r="B779" s="4">
        <v>354</v>
      </c>
      <c r="C779" s="2" t="s">
        <v>2307</v>
      </c>
      <c r="D779" s="2" t="s">
        <v>4</v>
      </c>
      <c r="E779" s="5" t="s">
        <v>409</v>
      </c>
      <c r="F779" s="2">
        <v>152</v>
      </c>
    </row>
    <row r="780" spans="1:6" x14ac:dyDescent="0.2">
      <c r="A780" s="6" t="s">
        <v>142</v>
      </c>
      <c r="B780" s="4">
        <v>137</v>
      </c>
      <c r="C780" s="2" t="s">
        <v>2310</v>
      </c>
      <c r="D780" s="2" t="s">
        <v>3</v>
      </c>
      <c r="E780" s="5" t="s">
        <v>412</v>
      </c>
      <c r="F780" s="2">
        <v>231</v>
      </c>
    </row>
    <row r="781" spans="1:6" x14ac:dyDescent="0.2">
      <c r="A781" s="6" t="s">
        <v>147</v>
      </c>
      <c r="B781" s="4">
        <v>142</v>
      </c>
      <c r="C781" s="2" t="s">
        <v>2310</v>
      </c>
      <c r="D781" s="2" t="s">
        <v>4</v>
      </c>
      <c r="E781" s="5" t="s">
        <v>412</v>
      </c>
      <c r="F781" s="2">
        <v>225</v>
      </c>
    </row>
    <row r="782" spans="1:6" x14ac:dyDescent="0.2">
      <c r="A782" s="6" t="s">
        <v>298</v>
      </c>
      <c r="B782" s="4">
        <v>294</v>
      </c>
      <c r="C782" s="2" t="s">
        <v>2308</v>
      </c>
      <c r="D782" s="2" t="s">
        <v>5</v>
      </c>
      <c r="E782" s="5" t="s">
        <v>411</v>
      </c>
      <c r="F782" s="2">
        <v>145</v>
      </c>
    </row>
    <row r="783" spans="1:6" x14ac:dyDescent="0.2">
      <c r="A783" s="6" t="s">
        <v>251</v>
      </c>
      <c r="B783" s="4">
        <v>247</v>
      </c>
      <c r="C783" s="2" t="s">
        <v>2308</v>
      </c>
      <c r="D783" s="2" t="s">
        <v>4</v>
      </c>
      <c r="E783" s="5" t="s">
        <v>410</v>
      </c>
      <c r="F783" s="2">
        <v>295</v>
      </c>
    </row>
    <row r="784" spans="1:6" x14ac:dyDescent="0.2">
      <c r="A784" s="6" t="s">
        <v>369</v>
      </c>
      <c r="B784" s="4">
        <v>365</v>
      </c>
      <c r="C784" s="2" t="s">
        <v>2307</v>
      </c>
      <c r="D784" s="2" t="s">
        <v>4</v>
      </c>
      <c r="E784" s="5" t="s">
        <v>409</v>
      </c>
      <c r="F784" s="2">
        <v>164</v>
      </c>
    </row>
    <row r="785" spans="1:6" x14ac:dyDescent="0.2">
      <c r="A785" s="6" t="s">
        <v>58</v>
      </c>
      <c r="B785" s="4">
        <v>53</v>
      </c>
      <c r="C785" s="2" t="s">
        <v>2309</v>
      </c>
      <c r="D785" s="2" t="s">
        <v>4</v>
      </c>
      <c r="E785" s="5" t="s">
        <v>410</v>
      </c>
      <c r="F785" s="2">
        <v>257</v>
      </c>
    </row>
    <row r="786" spans="1:6" x14ac:dyDescent="0.2">
      <c r="A786" s="6" t="s">
        <v>214</v>
      </c>
      <c r="B786" s="4">
        <v>210</v>
      </c>
      <c r="C786" s="2" t="s">
        <v>2308</v>
      </c>
      <c r="D786" s="2" t="s">
        <v>2</v>
      </c>
      <c r="E786" s="6" t="s">
        <v>408</v>
      </c>
      <c r="F786" s="2">
        <v>251</v>
      </c>
    </row>
    <row r="787" spans="1:6" x14ac:dyDescent="0.2">
      <c r="A787" s="6" t="s">
        <v>394</v>
      </c>
      <c r="B787" s="4">
        <v>390</v>
      </c>
      <c r="C787" s="2" t="s">
        <v>2307</v>
      </c>
      <c r="D787" s="2" t="s">
        <v>5</v>
      </c>
      <c r="E787" s="5" t="s">
        <v>411</v>
      </c>
      <c r="F787" s="2">
        <v>208</v>
      </c>
    </row>
    <row r="788" spans="1:6" x14ac:dyDescent="0.2">
      <c r="A788" s="6" t="s">
        <v>66</v>
      </c>
      <c r="B788" s="4">
        <v>61</v>
      </c>
      <c r="C788" s="2" t="s">
        <v>2309</v>
      </c>
      <c r="D788" s="2" t="s">
        <v>4</v>
      </c>
      <c r="E788" s="5" t="s">
        <v>409</v>
      </c>
      <c r="F788" s="2">
        <v>299</v>
      </c>
    </row>
    <row r="789" spans="1:6" x14ac:dyDescent="0.2">
      <c r="A789" s="6" t="s">
        <v>102</v>
      </c>
      <c r="B789" s="4">
        <v>97</v>
      </c>
      <c r="C789" s="2" t="s">
        <v>2309</v>
      </c>
      <c r="D789" s="2" t="s">
        <v>5</v>
      </c>
      <c r="E789" s="5" t="s">
        <v>412</v>
      </c>
      <c r="F789" s="2">
        <v>243</v>
      </c>
    </row>
    <row r="790" spans="1:6" x14ac:dyDescent="0.2">
      <c r="A790" s="6" t="s">
        <v>240</v>
      </c>
      <c r="B790" s="4">
        <v>236</v>
      </c>
      <c r="C790" s="2" t="s">
        <v>2308</v>
      </c>
      <c r="D790" s="2" t="s">
        <v>3</v>
      </c>
      <c r="E790" s="6" t="s">
        <v>408</v>
      </c>
      <c r="F790" s="2">
        <v>210</v>
      </c>
    </row>
    <row r="791" spans="1:6" x14ac:dyDescent="0.2">
      <c r="A791" s="6" t="s">
        <v>117</v>
      </c>
      <c r="B791" s="4">
        <v>112</v>
      </c>
      <c r="C791" s="2" t="s">
        <v>2310</v>
      </c>
      <c r="D791" s="2" t="s">
        <v>2</v>
      </c>
      <c r="E791" s="5" t="s">
        <v>411</v>
      </c>
      <c r="F791" s="2">
        <v>171</v>
      </c>
    </row>
    <row r="792" spans="1:6" x14ac:dyDescent="0.2">
      <c r="A792" s="6" t="s">
        <v>112</v>
      </c>
      <c r="B792" s="4">
        <v>107</v>
      </c>
      <c r="C792" s="2" t="s">
        <v>2310</v>
      </c>
      <c r="D792" s="2" t="s">
        <v>2</v>
      </c>
      <c r="E792" s="5" t="s">
        <v>408</v>
      </c>
      <c r="F792" s="2">
        <v>240</v>
      </c>
    </row>
    <row r="793" spans="1:6" x14ac:dyDescent="0.2">
      <c r="A793" s="6" t="s">
        <v>121</v>
      </c>
      <c r="B793" s="4">
        <v>116</v>
      </c>
      <c r="C793" s="2" t="s">
        <v>2310</v>
      </c>
      <c r="D793" s="2" t="s">
        <v>2</v>
      </c>
      <c r="E793" s="5" t="s">
        <v>411</v>
      </c>
      <c r="F793" s="2">
        <v>281</v>
      </c>
    </row>
    <row r="794" spans="1:6" x14ac:dyDescent="0.2">
      <c r="A794" s="6" t="s">
        <v>267</v>
      </c>
      <c r="B794" s="4">
        <v>263</v>
      </c>
      <c r="C794" s="2" t="s">
        <v>2308</v>
      </c>
      <c r="D794" s="2" t="s">
        <v>4</v>
      </c>
      <c r="E794" s="5" t="s">
        <v>410</v>
      </c>
      <c r="F794" s="2">
        <v>181</v>
      </c>
    </row>
    <row r="795" spans="1:6" x14ac:dyDescent="0.2">
      <c r="A795" s="6" t="s">
        <v>143</v>
      </c>
      <c r="B795" s="4">
        <v>138</v>
      </c>
      <c r="C795" s="2" t="s">
        <v>2310</v>
      </c>
      <c r="D795" s="2" t="s">
        <v>3</v>
      </c>
      <c r="E795" s="7" t="s">
        <v>410</v>
      </c>
      <c r="F795" s="2">
        <v>162</v>
      </c>
    </row>
    <row r="796" spans="1:6" x14ac:dyDescent="0.2">
      <c r="A796" s="6" t="s">
        <v>406</v>
      </c>
      <c r="B796" s="4">
        <v>402</v>
      </c>
      <c r="C796" s="2" t="s">
        <v>2307</v>
      </c>
      <c r="D796" s="2" t="s">
        <v>5</v>
      </c>
      <c r="E796" s="5" t="s">
        <v>410</v>
      </c>
      <c r="F796" s="2">
        <v>165</v>
      </c>
    </row>
    <row r="797" spans="1:6" x14ac:dyDescent="0.2">
      <c r="A797" s="6" t="s">
        <v>136</v>
      </c>
      <c r="B797" s="4">
        <v>131</v>
      </c>
      <c r="C797" s="2" t="s">
        <v>2310</v>
      </c>
      <c r="D797" s="2" t="s">
        <v>3</v>
      </c>
      <c r="E797" s="6" t="s">
        <v>408</v>
      </c>
      <c r="F797" s="2">
        <v>226</v>
      </c>
    </row>
    <row r="798" spans="1:6" x14ac:dyDescent="0.2">
      <c r="A798" s="6" t="s">
        <v>407</v>
      </c>
      <c r="B798" s="4">
        <v>403</v>
      </c>
      <c r="C798" s="2" t="s">
        <v>2307</v>
      </c>
      <c r="D798" s="2" t="s">
        <v>5</v>
      </c>
      <c r="E798" s="5" t="s">
        <v>411</v>
      </c>
      <c r="F798" s="2">
        <v>141</v>
      </c>
    </row>
    <row r="799" spans="1:6" x14ac:dyDescent="0.2">
      <c r="A799" s="6" t="s">
        <v>98</v>
      </c>
      <c r="B799" s="4">
        <v>93</v>
      </c>
      <c r="C799" s="2" t="s">
        <v>2309</v>
      </c>
      <c r="D799" s="2" t="s">
        <v>5</v>
      </c>
      <c r="E799" s="5" t="s">
        <v>412</v>
      </c>
      <c r="F799" s="2">
        <v>286</v>
      </c>
    </row>
    <row r="800" spans="1:6" x14ac:dyDescent="0.2">
      <c r="A800" s="6" t="s">
        <v>29</v>
      </c>
      <c r="B800" s="4">
        <v>24</v>
      </c>
      <c r="C800" s="2" t="s">
        <v>2309</v>
      </c>
      <c r="D800" s="2" t="s">
        <v>2</v>
      </c>
      <c r="E800" s="5" t="s">
        <v>411</v>
      </c>
      <c r="F800" s="2">
        <v>192</v>
      </c>
    </row>
    <row r="801" spans="1:6" x14ac:dyDescent="0.2">
      <c r="A801" s="6" t="s">
        <v>220</v>
      </c>
      <c r="B801" s="4">
        <v>216</v>
      </c>
      <c r="C801" s="2" t="s">
        <v>2308</v>
      </c>
      <c r="D801" s="2" t="s">
        <v>3</v>
      </c>
      <c r="E801" s="7" t="s">
        <v>411</v>
      </c>
      <c r="F801" s="2">
        <v>298</v>
      </c>
    </row>
    <row r="802" spans="1:6" x14ac:dyDescent="0.2">
      <c r="A802" s="6" t="s">
        <v>329</v>
      </c>
      <c r="B802" s="4">
        <v>325</v>
      </c>
      <c r="C802" s="2" t="s">
        <v>2307</v>
      </c>
      <c r="D802" s="2" t="s">
        <v>2</v>
      </c>
      <c r="E802" s="5" t="s">
        <v>409</v>
      </c>
      <c r="F802" s="2">
        <v>181</v>
      </c>
    </row>
    <row r="803" spans="1:6" x14ac:dyDescent="0.2">
      <c r="A803" s="6" t="s">
        <v>91</v>
      </c>
      <c r="B803" s="4">
        <v>86</v>
      </c>
      <c r="C803" s="2" t="s">
        <v>2309</v>
      </c>
      <c r="D803" s="2" t="s">
        <v>5</v>
      </c>
      <c r="E803" s="5" t="s">
        <v>412</v>
      </c>
      <c r="F803" s="2">
        <v>235</v>
      </c>
    </row>
    <row r="804" spans="1:6" x14ac:dyDescent="0.2">
      <c r="A804" s="6" t="s">
        <v>137</v>
      </c>
      <c r="B804" s="4">
        <v>132</v>
      </c>
      <c r="C804" s="2" t="s">
        <v>2310</v>
      </c>
      <c r="D804" s="2" t="s">
        <v>3</v>
      </c>
      <c r="E804" s="5" t="s">
        <v>412</v>
      </c>
      <c r="F804" s="2">
        <v>177</v>
      </c>
    </row>
    <row r="805" spans="1:6" x14ac:dyDescent="0.2">
      <c r="A805" s="6" t="s">
        <v>351</v>
      </c>
      <c r="B805" s="4">
        <v>347</v>
      </c>
      <c r="C805" s="2" t="s">
        <v>2307</v>
      </c>
      <c r="D805" s="2" t="s">
        <v>3</v>
      </c>
      <c r="E805" s="5" t="s">
        <v>411</v>
      </c>
      <c r="F805" s="2">
        <v>202</v>
      </c>
    </row>
    <row r="806" spans="1:6" x14ac:dyDescent="0.2">
      <c r="A806" s="6" t="s">
        <v>403</v>
      </c>
      <c r="B806" s="4">
        <v>399</v>
      </c>
      <c r="C806" s="2" t="s">
        <v>2307</v>
      </c>
      <c r="D806" s="2" t="s">
        <v>5</v>
      </c>
      <c r="E806" s="5" t="s">
        <v>409</v>
      </c>
      <c r="F806" s="2">
        <v>271</v>
      </c>
    </row>
    <row r="807" spans="1:6" x14ac:dyDescent="0.2">
      <c r="A807" s="6" t="s">
        <v>404</v>
      </c>
      <c r="B807" s="4">
        <v>400</v>
      </c>
      <c r="C807" s="2" t="s">
        <v>2307</v>
      </c>
      <c r="D807" s="2" t="s">
        <v>5</v>
      </c>
      <c r="E807" s="5" t="s">
        <v>409</v>
      </c>
      <c r="F807" s="2">
        <v>178</v>
      </c>
    </row>
    <row r="808" spans="1:6" x14ac:dyDescent="0.2">
      <c r="A808" s="6" t="s">
        <v>145</v>
      </c>
      <c r="B808" s="4">
        <v>140</v>
      </c>
      <c r="C808" s="2" t="s">
        <v>2310</v>
      </c>
      <c r="D808" s="2" t="s">
        <v>3</v>
      </c>
      <c r="E808" s="7" t="s">
        <v>411</v>
      </c>
      <c r="F808" s="2">
        <v>252</v>
      </c>
    </row>
    <row r="809" spans="1:6" x14ac:dyDescent="0.2">
      <c r="A809" s="6" t="s">
        <v>277</v>
      </c>
      <c r="B809" s="4">
        <v>273</v>
      </c>
      <c r="C809" s="2" t="s">
        <v>2308</v>
      </c>
      <c r="D809" s="2" t="s">
        <v>5</v>
      </c>
      <c r="E809" s="6" t="s">
        <v>408</v>
      </c>
      <c r="F809" s="2">
        <v>251</v>
      </c>
    </row>
    <row r="810" spans="1:6" x14ac:dyDescent="0.2">
      <c r="A810" s="6" t="s">
        <v>360</v>
      </c>
      <c r="B810" s="4">
        <v>356</v>
      </c>
      <c r="C810" s="2" t="s">
        <v>2307</v>
      </c>
      <c r="D810" s="2" t="s">
        <v>4</v>
      </c>
      <c r="E810" s="5" t="s">
        <v>408</v>
      </c>
      <c r="F810" s="2">
        <v>207</v>
      </c>
    </row>
    <row r="811" spans="1:6" x14ac:dyDescent="0.2">
      <c r="A811" s="6" t="s">
        <v>74</v>
      </c>
      <c r="B811" s="4">
        <v>69</v>
      </c>
      <c r="C811" s="2" t="s">
        <v>2309</v>
      </c>
      <c r="D811" s="2" t="s">
        <v>4</v>
      </c>
      <c r="E811" s="5" t="s">
        <v>411</v>
      </c>
      <c r="F811" s="2">
        <v>129</v>
      </c>
    </row>
    <row r="812" spans="1:6" x14ac:dyDescent="0.2">
      <c r="A812" s="6" t="s">
        <v>311</v>
      </c>
      <c r="B812" s="4">
        <v>307</v>
      </c>
      <c r="C812" s="2" t="s">
        <v>2307</v>
      </c>
      <c r="D812" s="2" t="s">
        <v>2</v>
      </c>
      <c r="E812" s="5" t="s">
        <v>409</v>
      </c>
      <c r="F812" s="2">
        <v>295</v>
      </c>
    </row>
    <row r="813" spans="1:6" x14ac:dyDescent="0.2">
      <c r="A813" s="6" t="s">
        <v>291</v>
      </c>
      <c r="B813" s="4">
        <v>287</v>
      </c>
      <c r="C813" s="2" t="s">
        <v>2308</v>
      </c>
      <c r="D813" s="2" t="s">
        <v>5</v>
      </c>
      <c r="E813" s="5" t="s">
        <v>410</v>
      </c>
      <c r="F813" s="2">
        <v>146</v>
      </c>
    </row>
    <row r="814" spans="1:6" x14ac:dyDescent="0.2">
      <c r="A814" s="6" t="s">
        <v>288</v>
      </c>
      <c r="B814" s="4">
        <v>284</v>
      </c>
      <c r="C814" s="2" t="s">
        <v>2308</v>
      </c>
      <c r="D814" s="2" t="s">
        <v>5</v>
      </c>
      <c r="E814" s="5" t="s">
        <v>411</v>
      </c>
      <c r="F814" s="2">
        <v>161</v>
      </c>
    </row>
    <row r="815" spans="1:6" x14ac:dyDescent="0.2">
      <c r="A815" s="6" t="s">
        <v>279</v>
      </c>
      <c r="B815" s="4">
        <v>275</v>
      </c>
      <c r="C815" s="2" t="s">
        <v>2308</v>
      </c>
      <c r="D815" s="2" t="s">
        <v>5</v>
      </c>
      <c r="E815" s="5" t="s">
        <v>412</v>
      </c>
      <c r="F815" s="2">
        <v>253</v>
      </c>
    </row>
    <row r="816" spans="1:6" x14ac:dyDescent="0.2">
      <c r="A816" s="6" t="s">
        <v>257</v>
      </c>
      <c r="B816" s="4">
        <v>253</v>
      </c>
      <c r="C816" s="2" t="s">
        <v>2308</v>
      </c>
      <c r="D816" s="2" t="s">
        <v>4</v>
      </c>
      <c r="E816" s="7" t="s">
        <v>409</v>
      </c>
      <c r="F816" s="2">
        <v>214</v>
      </c>
    </row>
    <row r="817" spans="1:6" x14ac:dyDescent="0.2">
      <c r="A817" s="6" t="s">
        <v>139</v>
      </c>
      <c r="B817" s="4">
        <v>134</v>
      </c>
      <c r="C817" s="2" t="s">
        <v>2310</v>
      </c>
      <c r="D817" s="2" t="s">
        <v>3</v>
      </c>
      <c r="E817" s="7" t="s">
        <v>409</v>
      </c>
      <c r="F817" s="2">
        <v>125</v>
      </c>
    </row>
    <row r="818" spans="1:6" x14ac:dyDescent="0.2">
      <c r="A818" s="6" t="s">
        <v>269</v>
      </c>
      <c r="B818" s="4">
        <v>265</v>
      </c>
      <c r="C818" s="2" t="s">
        <v>2308</v>
      </c>
      <c r="D818" s="2" t="s">
        <v>4</v>
      </c>
      <c r="E818" s="5" t="s">
        <v>410</v>
      </c>
      <c r="F818" s="2">
        <v>190</v>
      </c>
    </row>
    <row r="819" spans="1:6" x14ac:dyDescent="0.2">
      <c r="A819" s="6" t="s">
        <v>79</v>
      </c>
      <c r="B819" s="4">
        <v>74</v>
      </c>
      <c r="C819" s="2" t="s">
        <v>2309</v>
      </c>
      <c r="D819" s="2" t="s">
        <v>5</v>
      </c>
      <c r="E819" s="5" t="s">
        <v>411</v>
      </c>
      <c r="F819" s="2">
        <v>246</v>
      </c>
    </row>
    <row r="820" spans="1:6" x14ac:dyDescent="0.2">
      <c r="A820" s="6" t="s">
        <v>383</v>
      </c>
      <c r="B820" s="4">
        <v>379</v>
      </c>
      <c r="C820" s="2" t="s">
        <v>2307</v>
      </c>
      <c r="D820" s="2" t="s">
        <v>5</v>
      </c>
      <c r="E820" s="5" t="s">
        <v>408</v>
      </c>
      <c r="F820" s="2">
        <v>269</v>
      </c>
    </row>
    <row r="821" spans="1:6" x14ac:dyDescent="0.2">
      <c r="A821" s="6" t="s">
        <v>56</v>
      </c>
      <c r="B821" s="4">
        <v>51</v>
      </c>
      <c r="C821" s="2" t="s">
        <v>2309</v>
      </c>
      <c r="D821" s="2" t="s">
        <v>4</v>
      </c>
      <c r="E821" s="5" t="s">
        <v>410</v>
      </c>
      <c r="F821" s="2">
        <v>181</v>
      </c>
    </row>
    <row r="822" spans="1:6" x14ac:dyDescent="0.2">
      <c r="A822" s="6" t="s">
        <v>237</v>
      </c>
      <c r="B822" s="4">
        <v>233</v>
      </c>
      <c r="C822" s="2" t="s">
        <v>2308</v>
      </c>
      <c r="D822" s="2" t="s">
        <v>3</v>
      </c>
      <c r="E822" s="6" t="s">
        <v>408</v>
      </c>
      <c r="F822" s="2">
        <v>124</v>
      </c>
    </row>
    <row r="823" spans="1:6" x14ac:dyDescent="0.2">
      <c r="A823" s="6" t="s">
        <v>339</v>
      </c>
      <c r="B823" s="4">
        <v>335</v>
      </c>
      <c r="C823" s="2" t="s">
        <v>2307</v>
      </c>
      <c r="D823" s="2" t="s">
        <v>3</v>
      </c>
      <c r="E823" s="5" t="s">
        <v>411</v>
      </c>
      <c r="F823" s="2">
        <v>192</v>
      </c>
    </row>
    <row r="824" spans="1:6" x14ac:dyDescent="0.2">
      <c r="A824" s="6" t="s">
        <v>302</v>
      </c>
      <c r="B824" s="4">
        <v>298</v>
      </c>
      <c r="C824" s="2" t="s">
        <v>2307</v>
      </c>
      <c r="D824" s="2" t="s">
        <v>2</v>
      </c>
      <c r="E824" s="5" t="s">
        <v>410</v>
      </c>
      <c r="F824" s="2">
        <v>214</v>
      </c>
    </row>
    <row r="825" spans="1:6" x14ac:dyDescent="0.2">
      <c r="A825" s="6" t="s">
        <v>177</v>
      </c>
      <c r="B825" s="4">
        <v>172</v>
      </c>
      <c r="C825" s="2" t="s">
        <v>2310</v>
      </c>
      <c r="D825" s="2" t="s">
        <v>5</v>
      </c>
      <c r="E825" s="7" t="s">
        <v>410</v>
      </c>
      <c r="F825" s="2">
        <v>120</v>
      </c>
    </row>
    <row r="826" spans="1:6" x14ac:dyDescent="0.2">
      <c r="A826" s="6" t="s">
        <v>283</v>
      </c>
      <c r="B826" s="4">
        <v>279</v>
      </c>
      <c r="C826" s="2" t="s">
        <v>2308</v>
      </c>
      <c r="D826" s="2" t="s">
        <v>5</v>
      </c>
      <c r="E826" s="5" t="s">
        <v>410</v>
      </c>
      <c r="F826" s="2">
        <v>199</v>
      </c>
    </row>
    <row r="827" spans="1:6" x14ac:dyDescent="0.2">
      <c r="A827" s="6" t="s">
        <v>276</v>
      </c>
      <c r="B827" s="4">
        <v>272</v>
      </c>
      <c r="C827" s="2" t="s">
        <v>2308</v>
      </c>
      <c r="D827" s="2" t="s">
        <v>5</v>
      </c>
      <c r="E827" s="5" t="s">
        <v>409</v>
      </c>
      <c r="F827" s="2">
        <v>186</v>
      </c>
    </row>
    <row r="828" spans="1:6" x14ac:dyDescent="0.2">
      <c r="A828" s="6" t="s">
        <v>188</v>
      </c>
      <c r="B828" s="4">
        <v>183</v>
      </c>
      <c r="C828" s="2" t="s">
        <v>2310</v>
      </c>
      <c r="D828" s="2" t="s">
        <v>5</v>
      </c>
      <c r="E828" s="7" t="s">
        <v>409</v>
      </c>
      <c r="F828" s="2">
        <v>275</v>
      </c>
    </row>
    <row r="829" spans="1:6" x14ac:dyDescent="0.2">
      <c r="A829" s="6" t="s">
        <v>22</v>
      </c>
      <c r="B829" s="4">
        <v>17</v>
      </c>
      <c r="C829" s="2" t="s">
        <v>2309</v>
      </c>
      <c r="D829" s="2" t="s">
        <v>2</v>
      </c>
      <c r="E829" s="5" t="s">
        <v>412</v>
      </c>
      <c r="F829" s="2">
        <v>140</v>
      </c>
    </row>
    <row r="830" spans="1:6" x14ac:dyDescent="0.2">
      <c r="A830" s="6" t="s">
        <v>160</v>
      </c>
      <c r="B830" s="4">
        <v>155</v>
      </c>
      <c r="C830" s="2" t="s">
        <v>2310</v>
      </c>
      <c r="D830" s="2" t="s">
        <v>4</v>
      </c>
      <c r="E830" s="5" t="s">
        <v>412</v>
      </c>
      <c r="F830" s="2">
        <v>158</v>
      </c>
    </row>
    <row r="831" spans="1:6" x14ac:dyDescent="0.2">
      <c r="A831" s="6" t="s">
        <v>143</v>
      </c>
      <c r="B831" s="4">
        <v>138</v>
      </c>
      <c r="C831" s="2" t="s">
        <v>2310</v>
      </c>
      <c r="D831" s="2" t="s">
        <v>3</v>
      </c>
      <c r="E831" s="7" t="s">
        <v>409</v>
      </c>
      <c r="F831" s="2">
        <v>184</v>
      </c>
    </row>
    <row r="832" spans="1:6" x14ac:dyDescent="0.2">
      <c r="A832" s="6" t="s">
        <v>222</v>
      </c>
      <c r="B832" s="4">
        <v>218</v>
      </c>
      <c r="C832" s="2" t="s">
        <v>2308</v>
      </c>
      <c r="D832" s="2" t="s">
        <v>3</v>
      </c>
      <c r="E832" s="7" t="s">
        <v>411</v>
      </c>
      <c r="F832" s="2">
        <v>162</v>
      </c>
    </row>
    <row r="833" spans="1:6" x14ac:dyDescent="0.2">
      <c r="A833" s="6" t="s">
        <v>10</v>
      </c>
      <c r="B833" s="4">
        <v>5</v>
      </c>
      <c r="C833" s="2" t="s">
        <v>2309</v>
      </c>
      <c r="D833" s="2" t="s">
        <v>2</v>
      </c>
      <c r="E833" s="5" t="s">
        <v>408</v>
      </c>
      <c r="F833" s="2">
        <v>265</v>
      </c>
    </row>
    <row r="834" spans="1:6" x14ac:dyDescent="0.2">
      <c r="A834" s="6" t="s">
        <v>283</v>
      </c>
      <c r="B834" s="4">
        <v>279</v>
      </c>
      <c r="C834" s="2" t="s">
        <v>2308</v>
      </c>
      <c r="D834" s="2" t="s">
        <v>5</v>
      </c>
      <c r="E834" s="5" t="s">
        <v>412</v>
      </c>
      <c r="F834" s="2">
        <v>213</v>
      </c>
    </row>
    <row r="835" spans="1:6" x14ac:dyDescent="0.2">
      <c r="A835" s="6" t="s">
        <v>168</v>
      </c>
      <c r="B835" s="4">
        <v>163</v>
      </c>
      <c r="C835" s="2" t="s">
        <v>2310</v>
      </c>
      <c r="D835" s="2" t="s">
        <v>4</v>
      </c>
      <c r="E835" s="7" t="s">
        <v>409</v>
      </c>
      <c r="F835" s="2">
        <v>262</v>
      </c>
    </row>
    <row r="836" spans="1:6" x14ac:dyDescent="0.2">
      <c r="A836" s="6" t="s">
        <v>124</v>
      </c>
      <c r="B836" s="4">
        <v>119</v>
      </c>
      <c r="C836" s="2" t="s">
        <v>2310</v>
      </c>
      <c r="D836" s="2" t="s">
        <v>3</v>
      </c>
      <c r="E836" s="5" t="s">
        <v>412</v>
      </c>
      <c r="F836" s="2">
        <v>195</v>
      </c>
    </row>
    <row r="837" spans="1:6" x14ac:dyDescent="0.2">
      <c r="A837" s="6" t="s">
        <v>230</v>
      </c>
      <c r="B837" s="4">
        <v>226</v>
      </c>
      <c r="C837" s="2" t="s">
        <v>2308</v>
      </c>
      <c r="D837" s="2" t="s">
        <v>3</v>
      </c>
      <c r="E837" s="7" t="s">
        <v>409</v>
      </c>
      <c r="F837" s="2">
        <v>222</v>
      </c>
    </row>
    <row r="838" spans="1:6" x14ac:dyDescent="0.2">
      <c r="A838" s="6" t="s">
        <v>112</v>
      </c>
      <c r="B838" s="4">
        <v>107</v>
      </c>
      <c r="C838" s="2" t="s">
        <v>2310</v>
      </c>
      <c r="D838" s="2" t="s">
        <v>2</v>
      </c>
      <c r="E838" s="5" t="s">
        <v>409</v>
      </c>
      <c r="F838" s="2">
        <v>126</v>
      </c>
    </row>
    <row r="839" spans="1:6" x14ac:dyDescent="0.2">
      <c r="A839" s="6" t="s">
        <v>60</v>
      </c>
      <c r="B839" s="4">
        <v>55</v>
      </c>
      <c r="C839" s="2" t="s">
        <v>2309</v>
      </c>
      <c r="D839" s="2" t="s">
        <v>4</v>
      </c>
      <c r="E839" s="5" t="s">
        <v>410</v>
      </c>
      <c r="F839" s="2">
        <v>197</v>
      </c>
    </row>
    <row r="840" spans="1:6" x14ac:dyDescent="0.2">
      <c r="A840" s="6" t="s">
        <v>209</v>
      </c>
      <c r="B840" s="4">
        <v>205</v>
      </c>
      <c r="C840" s="2" t="s">
        <v>2308</v>
      </c>
      <c r="D840" s="2" t="s">
        <v>2</v>
      </c>
      <c r="E840" s="5" t="s">
        <v>411</v>
      </c>
      <c r="F840" s="2">
        <v>198</v>
      </c>
    </row>
    <row r="841" spans="1:6" x14ac:dyDescent="0.2">
      <c r="A841" s="6" t="s">
        <v>289</v>
      </c>
      <c r="B841" s="4">
        <v>285</v>
      </c>
      <c r="C841" s="2" t="s">
        <v>2308</v>
      </c>
      <c r="D841" s="2" t="s">
        <v>5</v>
      </c>
      <c r="E841" s="5" t="s">
        <v>411</v>
      </c>
      <c r="F841" s="2">
        <v>260</v>
      </c>
    </row>
    <row r="842" spans="1:6" x14ac:dyDescent="0.2">
      <c r="A842" s="6" t="s">
        <v>97</v>
      </c>
      <c r="B842" s="4">
        <v>92</v>
      </c>
      <c r="C842" s="2" t="s">
        <v>2309</v>
      </c>
      <c r="D842" s="2" t="s">
        <v>5</v>
      </c>
      <c r="E842" s="5" t="s">
        <v>410</v>
      </c>
      <c r="F842" s="2">
        <v>264</v>
      </c>
    </row>
    <row r="843" spans="1:6" x14ac:dyDescent="0.2">
      <c r="A843" s="6" t="s">
        <v>37</v>
      </c>
      <c r="B843" s="4">
        <v>32</v>
      </c>
      <c r="C843" s="2" t="s">
        <v>2309</v>
      </c>
      <c r="D843" s="2" t="s">
        <v>3</v>
      </c>
      <c r="E843" s="5" t="s">
        <v>411</v>
      </c>
      <c r="F843" s="2">
        <v>188</v>
      </c>
    </row>
    <row r="844" spans="1:6" x14ac:dyDescent="0.2">
      <c r="A844" s="6" t="s">
        <v>54</v>
      </c>
      <c r="B844" s="4">
        <v>49</v>
      </c>
      <c r="C844" s="2" t="s">
        <v>2309</v>
      </c>
      <c r="D844" s="2" t="s">
        <v>3</v>
      </c>
      <c r="E844" s="5" t="s">
        <v>411</v>
      </c>
      <c r="F844" s="2">
        <v>256</v>
      </c>
    </row>
    <row r="845" spans="1:6" x14ac:dyDescent="0.2">
      <c r="A845" s="6" t="s">
        <v>152</v>
      </c>
      <c r="B845" s="4">
        <v>147</v>
      </c>
      <c r="C845" s="2" t="s">
        <v>2310</v>
      </c>
      <c r="D845" s="2" t="s">
        <v>4</v>
      </c>
      <c r="E845" s="5" t="s">
        <v>411</v>
      </c>
      <c r="F845" s="2">
        <v>233</v>
      </c>
    </row>
    <row r="846" spans="1:6" x14ac:dyDescent="0.2">
      <c r="A846" s="6" t="s">
        <v>345</v>
      </c>
      <c r="B846" s="4">
        <v>341</v>
      </c>
      <c r="C846" s="2" t="s">
        <v>2307</v>
      </c>
      <c r="D846" s="2" t="s">
        <v>3</v>
      </c>
      <c r="E846" s="5" t="s">
        <v>410</v>
      </c>
      <c r="F846" s="2">
        <v>139</v>
      </c>
    </row>
    <row r="847" spans="1:6" x14ac:dyDescent="0.2">
      <c r="A847" s="6" t="s">
        <v>333</v>
      </c>
      <c r="B847" s="4">
        <v>329</v>
      </c>
      <c r="C847" s="2" t="s">
        <v>2307</v>
      </c>
      <c r="D847" s="2" t="s">
        <v>3</v>
      </c>
      <c r="E847" s="5" t="s">
        <v>410</v>
      </c>
      <c r="F847" s="2">
        <v>236</v>
      </c>
    </row>
    <row r="848" spans="1:6" x14ac:dyDescent="0.2">
      <c r="A848" s="6" t="s">
        <v>29</v>
      </c>
      <c r="B848" s="4">
        <v>24</v>
      </c>
      <c r="C848" s="2" t="s">
        <v>2309</v>
      </c>
      <c r="D848" s="2" t="s">
        <v>2</v>
      </c>
      <c r="E848" s="5" t="s">
        <v>412</v>
      </c>
      <c r="F848" s="2">
        <v>180</v>
      </c>
    </row>
    <row r="849" spans="1:6" x14ac:dyDescent="0.2">
      <c r="A849" s="6" t="s">
        <v>278</v>
      </c>
      <c r="B849" s="4">
        <v>274</v>
      </c>
      <c r="C849" s="2" t="s">
        <v>2308</v>
      </c>
      <c r="D849" s="2" t="s">
        <v>5</v>
      </c>
      <c r="E849" s="5" t="s">
        <v>410</v>
      </c>
      <c r="F849" s="2">
        <v>159</v>
      </c>
    </row>
    <row r="850" spans="1:6" x14ac:dyDescent="0.2">
      <c r="A850" s="6" t="s">
        <v>88</v>
      </c>
      <c r="B850" s="4">
        <v>83</v>
      </c>
      <c r="C850" s="2" t="s">
        <v>2309</v>
      </c>
      <c r="D850" s="2" t="s">
        <v>5</v>
      </c>
      <c r="E850" s="5" t="s">
        <v>408</v>
      </c>
      <c r="F850" s="2">
        <v>150</v>
      </c>
    </row>
    <row r="851" spans="1:6" x14ac:dyDescent="0.2">
      <c r="A851" s="6" t="s">
        <v>323</v>
      </c>
      <c r="B851" s="4">
        <v>319</v>
      </c>
      <c r="C851" s="2" t="s">
        <v>2307</v>
      </c>
      <c r="D851" s="2" t="s">
        <v>2</v>
      </c>
      <c r="E851" s="5" t="s">
        <v>412</v>
      </c>
      <c r="F851" s="2">
        <v>290</v>
      </c>
    </row>
    <row r="852" spans="1:6" x14ac:dyDescent="0.2">
      <c r="A852" s="6" t="s">
        <v>364</v>
      </c>
      <c r="B852" s="4">
        <v>360</v>
      </c>
      <c r="C852" s="2" t="s">
        <v>2307</v>
      </c>
      <c r="D852" s="2" t="s">
        <v>4</v>
      </c>
      <c r="E852" s="5" t="s">
        <v>411</v>
      </c>
      <c r="F852" s="2">
        <v>214</v>
      </c>
    </row>
    <row r="853" spans="1:6" x14ac:dyDescent="0.2">
      <c r="A853" s="6" t="s">
        <v>347</v>
      </c>
      <c r="B853" s="4">
        <v>343</v>
      </c>
      <c r="C853" s="2" t="s">
        <v>2307</v>
      </c>
      <c r="D853" s="2" t="s">
        <v>3</v>
      </c>
      <c r="E853" s="5" t="s">
        <v>411</v>
      </c>
      <c r="F853" s="2">
        <v>202</v>
      </c>
    </row>
    <row r="854" spans="1:6" x14ac:dyDescent="0.2">
      <c r="A854" s="6" t="s">
        <v>23</v>
      </c>
      <c r="B854" s="4">
        <v>18</v>
      </c>
      <c r="C854" s="2" t="s">
        <v>2309</v>
      </c>
      <c r="D854" s="2" t="s">
        <v>2</v>
      </c>
      <c r="E854" s="5" t="s">
        <v>409</v>
      </c>
      <c r="F854" s="2">
        <v>186</v>
      </c>
    </row>
    <row r="855" spans="1:6" x14ac:dyDescent="0.2">
      <c r="A855" s="6" t="s">
        <v>159</v>
      </c>
      <c r="B855" s="4">
        <v>154</v>
      </c>
      <c r="C855" s="2" t="s">
        <v>2310</v>
      </c>
      <c r="D855" s="2" t="s">
        <v>4</v>
      </c>
      <c r="E855" s="5" t="s">
        <v>410</v>
      </c>
      <c r="F855" s="2">
        <v>223</v>
      </c>
    </row>
    <row r="856" spans="1:6" x14ac:dyDescent="0.2">
      <c r="A856" s="6" t="s">
        <v>357</v>
      </c>
      <c r="B856" s="4">
        <v>353</v>
      </c>
      <c r="C856" s="2" t="s">
        <v>2307</v>
      </c>
      <c r="D856" s="2" t="s">
        <v>4</v>
      </c>
      <c r="E856" s="5" t="s">
        <v>408</v>
      </c>
      <c r="F856" s="2">
        <v>258</v>
      </c>
    </row>
    <row r="857" spans="1:6" x14ac:dyDescent="0.2">
      <c r="A857" s="6" t="s">
        <v>72</v>
      </c>
      <c r="B857" s="4">
        <v>67</v>
      </c>
      <c r="C857" s="2" t="s">
        <v>2309</v>
      </c>
      <c r="D857" s="2" t="s">
        <v>4</v>
      </c>
      <c r="E857" s="5" t="s">
        <v>411</v>
      </c>
      <c r="F857" s="2">
        <v>131</v>
      </c>
    </row>
    <row r="858" spans="1:6" x14ac:dyDescent="0.2">
      <c r="A858" s="6" t="s">
        <v>36</v>
      </c>
      <c r="B858" s="4">
        <v>31</v>
      </c>
      <c r="C858" s="2" t="s">
        <v>2309</v>
      </c>
      <c r="D858" s="2" t="s">
        <v>3</v>
      </c>
      <c r="E858" s="5" t="s">
        <v>411</v>
      </c>
      <c r="F858" s="2">
        <v>260</v>
      </c>
    </row>
    <row r="859" spans="1:6" x14ac:dyDescent="0.2">
      <c r="A859" s="6" t="s">
        <v>404</v>
      </c>
      <c r="B859" s="4">
        <v>400</v>
      </c>
      <c r="C859" s="2" t="s">
        <v>2307</v>
      </c>
      <c r="D859" s="2" t="s">
        <v>5</v>
      </c>
      <c r="E859" s="5" t="s">
        <v>410</v>
      </c>
      <c r="F859" s="2">
        <v>124</v>
      </c>
    </row>
    <row r="860" spans="1:6" x14ac:dyDescent="0.2">
      <c r="A860" s="6" t="s">
        <v>66</v>
      </c>
      <c r="B860" s="4">
        <v>61</v>
      </c>
      <c r="C860" s="2" t="s">
        <v>2309</v>
      </c>
      <c r="D860" s="2" t="s">
        <v>4</v>
      </c>
      <c r="E860" s="5" t="s">
        <v>411</v>
      </c>
      <c r="F860" s="2">
        <v>131</v>
      </c>
    </row>
    <row r="861" spans="1:6" x14ac:dyDescent="0.2">
      <c r="A861" s="6" t="s">
        <v>8</v>
      </c>
      <c r="B861" s="4">
        <v>3</v>
      </c>
      <c r="C861" s="2" t="s">
        <v>2309</v>
      </c>
      <c r="D861" s="2" t="s">
        <v>2</v>
      </c>
      <c r="E861" s="5" t="s">
        <v>408</v>
      </c>
      <c r="F861" s="2">
        <v>300</v>
      </c>
    </row>
    <row r="862" spans="1:6" x14ac:dyDescent="0.2">
      <c r="A862" s="6" t="s">
        <v>171</v>
      </c>
      <c r="B862" s="4">
        <v>166</v>
      </c>
      <c r="C862" s="2" t="s">
        <v>2310</v>
      </c>
      <c r="D862" s="2" t="s">
        <v>4</v>
      </c>
      <c r="E862" s="7" t="s">
        <v>409</v>
      </c>
      <c r="F862" s="2">
        <v>252</v>
      </c>
    </row>
    <row r="863" spans="1:6" x14ac:dyDescent="0.2">
      <c r="A863" s="6" t="s">
        <v>406</v>
      </c>
      <c r="B863" s="4">
        <v>402</v>
      </c>
      <c r="C863" s="2" t="s">
        <v>2307</v>
      </c>
      <c r="D863" s="2" t="s">
        <v>5</v>
      </c>
      <c r="E863" s="5" t="s">
        <v>409</v>
      </c>
      <c r="F863" s="2">
        <v>245</v>
      </c>
    </row>
    <row r="864" spans="1:6" x14ac:dyDescent="0.2">
      <c r="A864" s="6" t="s">
        <v>44</v>
      </c>
      <c r="B864" s="4">
        <v>39</v>
      </c>
      <c r="C864" s="2" t="s">
        <v>2309</v>
      </c>
      <c r="D864" s="2" t="s">
        <v>3</v>
      </c>
      <c r="E864" s="5" t="s">
        <v>412</v>
      </c>
      <c r="F864" s="2">
        <v>150</v>
      </c>
    </row>
    <row r="865" spans="1:6" x14ac:dyDescent="0.2">
      <c r="A865" s="6" t="s">
        <v>348</v>
      </c>
      <c r="B865" s="4">
        <v>344</v>
      </c>
      <c r="C865" s="2" t="s">
        <v>2307</v>
      </c>
      <c r="D865" s="2" t="s">
        <v>3</v>
      </c>
      <c r="E865" s="5" t="s">
        <v>412</v>
      </c>
      <c r="F865" s="2">
        <v>261</v>
      </c>
    </row>
    <row r="866" spans="1:6" x14ac:dyDescent="0.2">
      <c r="A866" s="6" t="s">
        <v>264</v>
      </c>
      <c r="B866" s="4">
        <v>260</v>
      </c>
      <c r="C866" s="2" t="s">
        <v>2308</v>
      </c>
      <c r="D866" s="2" t="s">
        <v>4</v>
      </c>
      <c r="E866" s="7" t="s">
        <v>409</v>
      </c>
      <c r="F866" s="2">
        <v>145</v>
      </c>
    </row>
    <row r="867" spans="1:6" x14ac:dyDescent="0.2">
      <c r="A867" s="6" t="s">
        <v>139</v>
      </c>
      <c r="B867" s="4">
        <v>134</v>
      </c>
      <c r="C867" s="2" t="s">
        <v>2310</v>
      </c>
      <c r="D867" s="2" t="s">
        <v>3</v>
      </c>
      <c r="E867" s="6" t="s">
        <v>408</v>
      </c>
      <c r="F867" s="2">
        <v>141</v>
      </c>
    </row>
    <row r="868" spans="1:6" x14ac:dyDescent="0.2">
      <c r="A868" s="6" t="s">
        <v>267</v>
      </c>
      <c r="B868" s="4">
        <v>263</v>
      </c>
      <c r="C868" s="2" t="s">
        <v>2308</v>
      </c>
      <c r="D868" s="2" t="s">
        <v>4</v>
      </c>
      <c r="E868" s="5" t="s">
        <v>411</v>
      </c>
      <c r="F868" s="2">
        <v>190</v>
      </c>
    </row>
    <row r="869" spans="1:6" x14ac:dyDescent="0.2">
      <c r="A869" s="6" t="s">
        <v>345</v>
      </c>
      <c r="B869" s="4">
        <v>341</v>
      </c>
      <c r="C869" s="2" t="s">
        <v>2307</v>
      </c>
      <c r="D869" s="2" t="s">
        <v>3</v>
      </c>
      <c r="E869" s="5" t="s">
        <v>411</v>
      </c>
      <c r="F869" s="2">
        <v>189</v>
      </c>
    </row>
    <row r="870" spans="1:6" x14ac:dyDescent="0.2">
      <c r="A870" s="6" t="s">
        <v>89</v>
      </c>
      <c r="B870" s="4">
        <v>84</v>
      </c>
      <c r="C870" s="2" t="s">
        <v>2309</v>
      </c>
      <c r="D870" s="2" t="s">
        <v>5</v>
      </c>
      <c r="E870" s="5" t="s">
        <v>412</v>
      </c>
      <c r="F870" s="2">
        <v>176</v>
      </c>
    </row>
    <row r="871" spans="1:6" x14ac:dyDescent="0.2">
      <c r="A871" s="6" t="s">
        <v>107</v>
      </c>
      <c r="B871" s="4">
        <v>102</v>
      </c>
      <c r="C871" s="2" t="s">
        <v>2310</v>
      </c>
      <c r="D871" s="2" t="s">
        <v>2</v>
      </c>
      <c r="E871" s="5" t="s">
        <v>412</v>
      </c>
      <c r="F871" s="2">
        <v>242</v>
      </c>
    </row>
    <row r="872" spans="1:6" x14ac:dyDescent="0.2">
      <c r="A872" s="6" t="s">
        <v>96</v>
      </c>
      <c r="B872" s="4">
        <v>91</v>
      </c>
      <c r="C872" s="2" t="s">
        <v>2309</v>
      </c>
      <c r="D872" s="2" t="s">
        <v>5</v>
      </c>
      <c r="E872" s="5" t="s">
        <v>411</v>
      </c>
      <c r="F872" s="2">
        <v>201</v>
      </c>
    </row>
    <row r="873" spans="1:6" x14ac:dyDescent="0.2">
      <c r="A873" s="6" t="s">
        <v>130</v>
      </c>
      <c r="B873" s="4">
        <v>125</v>
      </c>
      <c r="C873" s="2" t="s">
        <v>2310</v>
      </c>
      <c r="D873" s="2" t="s">
        <v>3</v>
      </c>
      <c r="E873" s="7" t="s">
        <v>410</v>
      </c>
      <c r="F873" s="2">
        <v>228</v>
      </c>
    </row>
    <row r="874" spans="1:6" x14ac:dyDescent="0.2">
      <c r="A874" s="6" t="s">
        <v>335</v>
      </c>
      <c r="B874" s="4">
        <v>331</v>
      </c>
      <c r="C874" s="2" t="s">
        <v>2307</v>
      </c>
      <c r="D874" s="2" t="s">
        <v>3</v>
      </c>
      <c r="E874" s="5" t="s">
        <v>408</v>
      </c>
      <c r="F874" s="2">
        <v>246</v>
      </c>
    </row>
    <row r="875" spans="1:6" x14ac:dyDescent="0.2">
      <c r="A875" s="6" t="s">
        <v>304</v>
      </c>
      <c r="B875" s="4">
        <v>300</v>
      </c>
      <c r="C875" s="2" t="s">
        <v>2307</v>
      </c>
      <c r="D875" s="2" t="s">
        <v>2</v>
      </c>
      <c r="E875" s="5" t="s">
        <v>412</v>
      </c>
      <c r="F875" s="2">
        <v>300</v>
      </c>
    </row>
    <row r="876" spans="1:6" x14ac:dyDescent="0.2">
      <c r="A876" s="6" t="s">
        <v>393</v>
      </c>
      <c r="B876" s="4">
        <v>389</v>
      </c>
      <c r="C876" s="2" t="s">
        <v>2307</v>
      </c>
      <c r="D876" s="2" t="s">
        <v>5</v>
      </c>
      <c r="E876" s="5" t="s">
        <v>408</v>
      </c>
      <c r="F876" s="2">
        <v>175</v>
      </c>
    </row>
    <row r="877" spans="1:6" x14ac:dyDescent="0.2">
      <c r="A877" s="6" t="s">
        <v>272</v>
      </c>
      <c r="B877" s="4">
        <v>268</v>
      </c>
      <c r="C877" s="2" t="s">
        <v>2308</v>
      </c>
      <c r="D877" s="2" t="s">
        <v>4</v>
      </c>
      <c r="E877" s="7" t="s">
        <v>409</v>
      </c>
      <c r="F877" s="2">
        <v>245</v>
      </c>
    </row>
    <row r="878" spans="1:6" x14ac:dyDescent="0.2">
      <c r="A878" s="6" t="s">
        <v>83</v>
      </c>
      <c r="B878" s="4">
        <v>78</v>
      </c>
      <c r="C878" s="2" t="s">
        <v>2309</v>
      </c>
      <c r="D878" s="2" t="s">
        <v>5</v>
      </c>
      <c r="E878" s="5" t="s">
        <v>409</v>
      </c>
      <c r="F878" s="2">
        <v>241</v>
      </c>
    </row>
    <row r="879" spans="1:6" x14ac:dyDescent="0.2">
      <c r="A879" s="6" t="s">
        <v>137</v>
      </c>
      <c r="B879" s="4">
        <v>132</v>
      </c>
      <c r="C879" s="2" t="s">
        <v>2310</v>
      </c>
      <c r="D879" s="2" t="s">
        <v>3</v>
      </c>
      <c r="E879" s="7" t="s">
        <v>411</v>
      </c>
      <c r="F879" s="2">
        <v>282</v>
      </c>
    </row>
    <row r="880" spans="1:6" x14ac:dyDescent="0.2">
      <c r="A880" s="6" t="s">
        <v>168</v>
      </c>
      <c r="B880" s="4">
        <v>163</v>
      </c>
      <c r="C880" s="2" t="s">
        <v>2310</v>
      </c>
      <c r="D880" s="2" t="s">
        <v>4</v>
      </c>
      <c r="E880" s="5" t="s">
        <v>412</v>
      </c>
      <c r="F880" s="2">
        <v>203</v>
      </c>
    </row>
    <row r="881" spans="1:6" x14ac:dyDescent="0.2">
      <c r="A881" s="6" t="s">
        <v>237</v>
      </c>
      <c r="B881" s="4">
        <v>233</v>
      </c>
      <c r="C881" s="2" t="s">
        <v>2308</v>
      </c>
      <c r="D881" s="2" t="s">
        <v>3</v>
      </c>
      <c r="E881" s="5" t="s">
        <v>412</v>
      </c>
      <c r="F881" s="2">
        <v>224</v>
      </c>
    </row>
    <row r="882" spans="1:6" x14ac:dyDescent="0.2">
      <c r="A882" s="6" t="s">
        <v>294</v>
      </c>
      <c r="B882" s="4">
        <v>290</v>
      </c>
      <c r="C882" s="2" t="s">
        <v>2308</v>
      </c>
      <c r="D882" s="2" t="s">
        <v>5</v>
      </c>
      <c r="E882" s="5" t="s">
        <v>411</v>
      </c>
      <c r="F882" s="2">
        <v>136</v>
      </c>
    </row>
    <row r="883" spans="1:6" x14ac:dyDescent="0.2">
      <c r="A883" s="6" t="s">
        <v>232</v>
      </c>
      <c r="B883" s="4">
        <v>228</v>
      </c>
      <c r="C883" s="2" t="s">
        <v>2308</v>
      </c>
      <c r="D883" s="2" t="s">
        <v>3</v>
      </c>
      <c r="E883" s="7" t="s">
        <v>411</v>
      </c>
      <c r="F883" s="2">
        <v>194</v>
      </c>
    </row>
    <row r="884" spans="1:6" x14ac:dyDescent="0.2">
      <c r="A884" s="6" t="s">
        <v>304</v>
      </c>
      <c r="B884" s="4">
        <v>300</v>
      </c>
      <c r="C884" s="2" t="s">
        <v>2307</v>
      </c>
      <c r="D884" s="2" t="s">
        <v>2</v>
      </c>
      <c r="E884" s="5" t="s">
        <v>411</v>
      </c>
      <c r="F884" s="2">
        <v>216</v>
      </c>
    </row>
    <row r="885" spans="1:6" x14ac:dyDescent="0.2">
      <c r="A885" s="6" t="s">
        <v>159</v>
      </c>
      <c r="B885" s="4">
        <v>154</v>
      </c>
      <c r="C885" s="2" t="s">
        <v>2310</v>
      </c>
      <c r="D885" s="2" t="s">
        <v>4</v>
      </c>
      <c r="E885" s="5" t="s">
        <v>411</v>
      </c>
      <c r="F885" s="2">
        <v>222</v>
      </c>
    </row>
    <row r="886" spans="1:6" x14ac:dyDescent="0.2">
      <c r="A886" s="6" t="s">
        <v>382</v>
      </c>
      <c r="B886" s="4">
        <v>378</v>
      </c>
      <c r="C886" s="2" t="s">
        <v>2307</v>
      </c>
      <c r="D886" s="2" t="s">
        <v>5</v>
      </c>
      <c r="E886" s="5" t="s">
        <v>409</v>
      </c>
      <c r="F886" s="2">
        <v>123</v>
      </c>
    </row>
    <row r="887" spans="1:6" x14ac:dyDescent="0.2">
      <c r="A887" s="6" t="s">
        <v>99</v>
      </c>
      <c r="B887" s="4">
        <v>94</v>
      </c>
      <c r="C887" s="2" t="s">
        <v>2309</v>
      </c>
      <c r="D887" s="2" t="s">
        <v>5</v>
      </c>
      <c r="E887" s="5" t="s">
        <v>411</v>
      </c>
      <c r="F887" s="2">
        <v>291</v>
      </c>
    </row>
    <row r="888" spans="1:6" x14ac:dyDescent="0.2">
      <c r="A888" s="6" t="s">
        <v>285</v>
      </c>
      <c r="B888" s="4">
        <v>281</v>
      </c>
      <c r="C888" s="2" t="s">
        <v>2308</v>
      </c>
      <c r="D888" s="2" t="s">
        <v>5</v>
      </c>
      <c r="E888" s="5" t="s">
        <v>412</v>
      </c>
      <c r="F888" s="2">
        <v>282</v>
      </c>
    </row>
    <row r="889" spans="1:6" x14ac:dyDescent="0.2">
      <c r="A889" s="6" t="s">
        <v>224</v>
      </c>
      <c r="B889" s="4">
        <v>220</v>
      </c>
      <c r="C889" s="2" t="s">
        <v>2308</v>
      </c>
      <c r="D889" s="2" t="s">
        <v>3</v>
      </c>
      <c r="E889" s="7" t="s">
        <v>409</v>
      </c>
      <c r="F889" s="2">
        <v>234</v>
      </c>
    </row>
    <row r="890" spans="1:6" x14ac:dyDescent="0.2">
      <c r="A890" s="6" t="s">
        <v>391</v>
      </c>
      <c r="B890" s="4">
        <v>387</v>
      </c>
      <c r="C890" s="2" t="s">
        <v>2307</v>
      </c>
      <c r="D890" s="2" t="s">
        <v>5</v>
      </c>
      <c r="E890" s="5" t="s">
        <v>411</v>
      </c>
      <c r="F890" s="2">
        <v>213</v>
      </c>
    </row>
    <row r="891" spans="1:6" x14ac:dyDescent="0.2">
      <c r="A891" s="6" t="s">
        <v>321</v>
      </c>
      <c r="B891" s="4">
        <v>317</v>
      </c>
      <c r="C891" s="2" t="s">
        <v>2307</v>
      </c>
      <c r="D891" s="2" t="s">
        <v>2</v>
      </c>
      <c r="E891" s="5" t="s">
        <v>411</v>
      </c>
      <c r="F891" s="2">
        <v>243</v>
      </c>
    </row>
    <row r="892" spans="1:6" x14ac:dyDescent="0.2">
      <c r="A892" s="6" t="s">
        <v>377</v>
      </c>
      <c r="B892" s="4">
        <v>373</v>
      </c>
      <c r="C892" s="2" t="s">
        <v>2307</v>
      </c>
      <c r="D892" s="2" t="s">
        <v>4</v>
      </c>
      <c r="E892" s="5" t="s">
        <v>408</v>
      </c>
      <c r="F892" s="2">
        <v>204</v>
      </c>
    </row>
    <row r="893" spans="1:6" x14ac:dyDescent="0.2">
      <c r="A893" s="6" t="s">
        <v>25</v>
      </c>
      <c r="B893" s="4">
        <v>20</v>
      </c>
      <c r="C893" s="2" t="s">
        <v>2309</v>
      </c>
      <c r="D893" s="2" t="s">
        <v>2</v>
      </c>
      <c r="E893" s="5" t="s">
        <v>408</v>
      </c>
      <c r="F893" s="2">
        <v>233</v>
      </c>
    </row>
    <row r="894" spans="1:6" x14ac:dyDescent="0.2">
      <c r="A894" s="6" t="s">
        <v>250</v>
      </c>
      <c r="B894" s="4">
        <v>246</v>
      </c>
      <c r="C894" s="2" t="s">
        <v>2308</v>
      </c>
      <c r="D894" s="2" t="s">
        <v>4</v>
      </c>
      <c r="E894" s="5" t="s">
        <v>411</v>
      </c>
      <c r="F894" s="2">
        <v>178</v>
      </c>
    </row>
    <row r="895" spans="1:6" x14ac:dyDescent="0.2">
      <c r="A895" s="6" t="s">
        <v>258</v>
      </c>
      <c r="B895" s="4">
        <v>254</v>
      </c>
      <c r="C895" s="2" t="s">
        <v>2308</v>
      </c>
      <c r="D895" s="2" t="s">
        <v>4</v>
      </c>
      <c r="E895" s="5" t="s">
        <v>410</v>
      </c>
      <c r="F895" s="2">
        <v>212</v>
      </c>
    </row>
    <row r="896" spans="1:6" x14ac:dyDescent="0.2">
      <c r="A896" s="6" t="s">
        <v>103</v>
      </c>
      <c r="B896" s="4">
        <v>98</v>
      </c>
      <c r="C896" s="2" t="s">
        <v>2309</v>
      </c>
      <c r="D896" s="2" t="s">
        <v>5</v>
      </c>
      <c r="E896" s="5" t="s">
        <v>412</v>
      </c>
      <c r="F896" s="2">
        <v>240</v>
      </c>
    </row>
    <row r="897" spans="1:6" x14ac:dyDescent="0.2">
      <c r="A897" s="6" t="s">
        <v>163</v>
      </c>
      <c r="B897" s="4">
        <v>158</v>
      </c>
      <c r="C897" s="2" t="s">
        <v>2310</v>
      </c>
      <c r="D897" s="2" t="s">
        <v>4</v>
      </c>
      <c r="E897" s="5" t="s">
        <v>410</v>
      </c>
      <c r="F897" s="2">
        <v>202</v>
      </c>
    </row>
    <row r="898" spans="1:6" x14ac:dyDescent="0.2">
      <c r="A898" s="6" t="s">
        <v>389</v>
      </c>
      <c r="B898" s="4">
        <v>385</v>
      </c>
      <c r="C898" s="2" t="s">
        <v>2307</v>
      </c>
      <c r="D898" s="2" t="s">
        <v>5</v>
      </c>
      <c r="E898" s="5" t="s">
        <v>412</v>
      </c>
      <c r="F898" s="2">
        <v>259</v>
      </c>
    </row>
    <row r="899" spans="1:6" x14ac:dyDescent="0.2">
      <c r="A899" s="6" t="s">
        <v>17</v>
      </c>
      <c r="B899" s="4">
        <v>12</v>
      </c>
      <c r="C899" s="2" t="s">
        <v>2309</v>
      </c>
      <c r="D899" s="2" t="s">
        <v>2</v>
      </c>
      <c r="E899" s="5" t="s">
        <v>408</v>
      </c>
      <c r="F899" s="2">
        <v>256</v>
      </c>
    </row>
    <row r="900" spans="1:6" x14ac:dyDescent="0.2">
      <c r="A900" s="6" t="s">
        <v>43</v>
      </c>
      <c r="B900" s="4">
        <v>38</v>
      </c>
      <c r="C900" s="2" t="s">
        <v>2309</v>
      </c>
      <c r="D900" s="2" t="s">
        <v>3</v>
      </c>
      <c r="E900" s="5" t="s">
        <v>412</v>
      </c>
      <c r="F900" s="2">
        <v>134</v>
      </c>
    </row>
    <row r="901" spans="1:6" x14ac:dyDescent="0.2">
      <c r="A901" s="6" t="s">
        <v>318</v>
      </c>
      <c r="B901" s="4">
        <v>314</v>
      </c>
      <c r="C901" s="2" t="s">
        <v>2307</v>
      </c>
      <c r="D901" s="2" t="s">
        <v>2</v>
      </c>
      <c r="E901" s="5" t="s">
        <v>408</v>
      </c>
      <c r="F901" s="2">
        <v>297</v>
      </c>
    </row>
    <row r="902" spans="1:6" x14ac:dyDescent="0.2">
      <c r="A902" s="6" t="s">
        <v>34</v>
      </c>
      <c r="B902" s="4">
        <v>29</v>
      </c>
      <c r="C902" s="2" t="s">
        <v>2309</v>
      </c>
      <c r="D902" s="2" t="s">
        <v>3</v>
      </c>
      <c r="E902" s="5" t="s">
        <v>408</v>
      </c>
      <c r="F902" s="2">
        <v>240</v>
      </c>
    </row>
    <row r="903" spans="1:6" x14ac:dyDescent="0.2">
      <c r="A903" s="6" t="s">
        <v>298</v>
      </c>
      <c r="B903" s="4">
        <v>294</v>
      </c>
      <c r="C903" s="2" t="s">
        <v>2308</v>
      </c>
      <c r="D903" s="2" t="s">
        <v>5</v>
      </c>
      <c r="E903" s="5" t="s">
        <v>412</v>
      </c>
      <c r="F903" s="2">
        <v>167</v>
      </c>
    </row>
    <row r="904" spans="1:6" x14ac:dyDescent="0.2">
      <c r="A904" s="6" t="s">
        <v>28</v>
      </c>
      <c r="B904" s="4">
        <v>23</v>
      </c>
      <c r="C904" s="2" t="s">
        <v>2309</v>
      </c>
      <c r="D904" s="2" t="s">
        <v>2</v>
      </c>
      <c r="E904" s="5" t="s">
        <v>412</v>
      </c>
      <c r="F904" s="2">
        <v>135</v>
      </c>
    </row>
    <row r="905" spans="1:6" x14ac:dyDescent="0.2">
      <c r="A905" s="6" t="s">
        <v>70</v>
      </c>
      <c r="B905" s="4">
        <v>65</v>
      </c>
      <c r="C905" s="2" t="s">
        <v>2309</v>
      </c>
      <c r="D905" s="2" t="s">
        <v>4</v>
      </c>
      <c r="E905" s="5" t="s">
        <v>410</v>
      </c>
      <c r="F905" s="2">
        <v>278</v>
      </c>
    </row>
    <row r="906" spans="1:6" x14ac:dyDescent="0.2">
      <c r="A906" s="6" t="s">
        <v>79</v>
      </c>
      <c r="B906" s="4">
        <v>74</v>
      </c>
      <c r="C906" s="2" t="s">
        <v>2309</v>
      </c>
      <c r="D906" s="2" t="s">
        <v>5</v>
      </c>
      <c r="E906" s="5" t="s">
        <v>410</v>
      </c>
      <c r="F906" s="2">
        <v>207</v>
      </c>
    </row>
    <row r="907" spans="1:6" x14ac:dyDescent="0.2">
      <c r="A907" s="6" t="s">
        <v>244</v>
      </c>
      <c r="B907" s="4">
        <v>240</v>
      </c>
      <c r="C907" s="2" t="s">
        <v>2308</v>
      </c>
      <c r="D907" s="2" t="s">
        <v>3</v>
      </c>
      <c r="E907" s="7" t="s">
        <v>409</v>
      </c>
      <c r="F907" s="2">
        <v>273</v>
      </c>
    </row>
    <row r="908" spans="1:6" x14ac:dyDescent="0.2">
      <c r="A908" s="6" t="s">
        <v>255</v>
      </c>
      <c r="B908" s="4">
        <v>251</v>
      </c>
      <c r="C908" s="2" t="s">
        <v>2308</v>
      </c>
      <c r="D908" s="2" t="s">
        <v>4</v>
      </c>
      <c r="E908" s="5" t="s">
        <v>410</v>
      </c>
      <c r="F908" s="2">
        <v>255</v>
      </c>
    </row>
    <row r="909" spans="1:6" x14ac:dyDescent="0.2">
      <c r="A909" s="6" t="s">
        <v>121</v>
      </c>
      <c r="B909" s="4">
        <v>116</v>
      </c>
      <c r="C909" s="2" t="s">
        <v>2310</v>
      </c>
      <c r="D909" s="2" t="s">
        <v>2</v>
      </c>
      <c r="E909" s="5" t="s">
        <v>408</v>
      </c>
      <c r="F909" s="2">
        <v>125</v>
      </c>
    </row>
    <row r="910" spans="1:6" x14ac:dyDescent="0.2">
      <c r="A910" s="6" t="s">
        <v>264</v>
      </c>
      <c r="B910" s="4">
        <v>260</v>
      </c>
      <c r="C910" s="2" t="s">
        <v>2308</v>
      </c>
      <c r="D910" s="2" t="s">
        <v>4</v>
      </c>
      <c r="E910" s="5" t="s">
        <v>410</v>
      </c>
      <c r="F910" s="2">
        <v>188</v>
      </c>
    </row>
    <row r="911" spans="1:6" x14ac:dyDescent="0.2">
      <c r="A911" s="6" t="s">
        <v>72</v>
      </c>
      <c r="B911" s="4">
        <v>67</v>
      </c>
      <c r="C911" s="2" t="s">
        <v>2309</v>
      </c>
      <c r="D911" s="2" t="s">
        <v>4</v>
      </c>
      <c r="E911" s="5" t="s">
        <v>409</v>
      </c>
      <c r="F911" s="2">
        <v>185</v>
      </c>
    </row>
    <row r="912" spans="1:6" x14ac:dyDescent="0.2">
      <c r="A912" s="6" t="s">
        <v>201</v>
      </c>
      <c r="B912" s="4">
        <v>197</v>
      </c>
      <c r="C912" s="2" t="s">
        <v>2308</v>
      </c>
      <c r="D912" s="2" t="s">
        <v>2</v>
      </c>
      <c r="E912" s="5" t="s">
        <v>412</v>
      </c>
      <c r="F912" s="2">
        <v>165</v>
      </c>
    </row>
    <row r="913" spans="1:6" x14ac:dyDescent="0.2">
      <c r="A913" s="6" t="s">
        <v>309</v>
      </c>
      <c r="B913" s="4">
        <v>305</v>
      </c>
      <c r="C913" s="2" t="s">
        <v>2307</v>
      </c>
      <c r="D913" s="2" t="s">
        <v>2</v>
      </c>
      <c r="E913" s="5" t="s">
        <v>411</v>
      </c>
      <c r="F913" s="2">
        <v>293</v>
      </c>
    </row>
    <row r="914" spans="1:6" x14ac:dyDescent="0.2">
      <c r="A914" s="6" t="s">
        <v>294</v>
      </c>
      <c r="B914" s="4">
        <v>290</v>
      </c>
      <c r="C914" s="2" t="s">
        <v>2308</v>
      </c>
      <c r="D914" s="2" t="s">
        <v>5</v>
      </c>
      <c r="E914" s="5" t="s">
        <v>409</v>
      </c>
      <c r="F914" s="2">
        <v>127</v>
      </c>
    </row>
    <row r="915" spans="1:6" x14ac:dyDescent="0.2">
      <c r="A915" s="6" t="s">
        <v>95</v>
      </c>
      <c r="B915" s="4">
        <v>90</v>
      </c>
      <c r="C915" s="2" t="s">
        <v>2309</v>
      </c>
      <c r="D915" s="2" t="s">
        <v>5</v>
      </c>
      <c r="E915" s="5" t="s">
        <v>412</v>
      </c>
      <c r="F915" s="2">
        <v>240</v>
      </c>
    </row>
    <row r="916" spans="1:6" x14ac:dyDescent="0.2">
      <c r="A916" s="6" t="s">
        <v>168</v>
      </c>
      <c r="B916" s="4">
        <v>163</v>
      </c>
      <c r="C916" s="2" t="s">
        <v>2310</v>
      </c>
      <c r="D916" s="2" t="s">
        <v>4</v>
      </c>
      <c r="E916" s="6" t="s">
        <v>408</v>
      </c>
      <c r="F916" s="2">
        <v>221</v>
      </c>
    </row>
    <row r="917" spans="1:6" x14ac:dyDescent="0.2">
      <c r="A917" s="6" t="s">
        <v>71</v>
      </c>
      <c r="B917" s="4">
        <v>66</v>
      </c>
      <c r="C917" s="2" t="s">
        <v>2309</v>
      </c>
      <c r="D917" s="2" t="s">
        <v>4</v>
      </c>
      <c r="E917" s="5" t="s">
        <v>410</v>
      </c>
      <c r="F917" s="2">
        <v>216</v>
      </c>
    </row>
    <row r="918" spans="1:6" x14ac:dyDescent="0.2">
      <c r="A918" s="6" t="s">
        <v>67</v>
      </c>
      <c r="B918" s="4">
        <v>62</v>
      </c>
      <c r="C918" s="2" t="s">
        <v>2309</v>
      </c>
      <c r="D918" s="2" t="s">
        <v>4</v>
      </c>
      <c r="E918" s="5" t="s">
        <v>411</v>
      </c>
      <c r="F918" s="2">
        <v>138</v>
      </c>
    </row>
    <row r="919" spans="1:6" x14ac:dyDescent="0.2">
      <c r="A919" s="6" t="s">
        <v>208</v>
      </c>
      <c r="B919" s="4">
        <v>204</v>
      </c>
      <c r="C919" s="2" t="s">
        <v>2308</v>
      </c>
      <c r="D919" s="2" t="s">
        <v>2</v>
      </c>
      <c r="E919" s="5" t="s">
        <v>412</v>
      </c>
      <c r="F919" s="2">
        <v>166</v>
      </c>
    </row>
    <row r="920" spans="1:6" x14ac:dyDescent="0.2">
      <c r="A920" s="6" t="s">
        <v>302</v>
      </c>
      <c r="B920" s="4">
        <v>298</v>
      </c>
      <c r="C920" s="2" t="s">
        <v>2307</v>
      </c>
      <c r="D920" s="2" t="s">
        <v>2</v>
      </c>
      <c r="E920" s="5" t="s">
        <v>411</v>
      </c>
      <c r="F920" s="2">
        <v>174</v>
      </c>
    </row>
    <row r="921" spans="1:6" x14ac:dyDescent="0.2">
      <c r="A921" s="6" t="s">
        <v>184</v>
      </c>
      <c r="B921" s="4">
        <v>179</v>
      </c>
      <c r="C921" s="2" t="s">
        <v>2310</v>
      </c>
      <c r="D921" s="2" t="s">
        <v>5</v>
      </c>
      <c r="E921" s="7" t="s">
        <v>409</v>
      </c>
      <c r="F921" s="2">
        <v>275</v>
      </c>
    </row>
    <row r="922" spans="1:6" x14ac:dyDescent="0.2">
      <c r="A922" s="6" t="s">
        <v>219</v>
      </c>
      <c r="B922" s="4">
        <v>215</v>
      </c>
      <c r="C922" s="2" t="s">
        <v>2308</v>
      </c>
      <c r="D922" s="2" t="s">
        <v>2</v>
      </c>
      <c r="E922" s="5" t="s">
        <v>409</v>
      </c>
      <c r="F922" s="2">
        <v>262</v>
      </c>
    </row>
    <row r="923" spans="1:6" x14ac:dyDescent="0.2">
      <c r="A923" s="6" t="s">
        <v>255</v>
      </c>
      <c r="B923" s="4">
        <v>251</v>
      </c>
      <c r="C923" s="2" t="s">
        <v>2308</v>
      </c>
      <c r="D923" s="2" t="s">
        <v>4</v>
      </c>
      <c r="E923" s="6" t="s">
        <v>408</v>
      </c>
      <c r="F923" s="2">
        <v>128</v>
      </c>
    </row>
    <row r="924" spans="1:6" x14ac:dyDescent="0.2">
      <c r="A924" s="6" t="s">
        <v>136</v>
      </c>
      <c r="B924" s="4">
        <v>131</v>
      </c>
      <c r="C924" s="2" t="s">
        <v>2310</v>
      </c>
      <c r="D924" s="2" t="s">
        <v>3</v>
      </c>
      <c r="E924" s="5" t="s">
        <v>412</v>
      </c>
      <c r="F924" s="2">
        <v>222</v>
      </c>
    </row>
    <row r="925" spans="1:6" x14ac:dyDescent="0.2">
      <c r="A925" s="6" t="s">
        <v>246</v>
      </c>
      <c r="B925" s="4">
        <v>242</v>
      </c>
      <c r="C925" s="2" t="s">
        <v>2308</v>
      </c>
      <c r="D925" s="2" t="s">
        <v>3</v>
      </c>
      <c r="E925" s="7" t="s">
        <v>410</v>
      </c>
      <c r="F925" s="2">
        <v>147</v>
      </c>
    </row>
    <row r="926" spans="1:6" x14ac:dyDescent="0.2">
      <c r="A926" s="6" t="s">
        <v>272</v>
      </c>
      <c r="B926" s="4">
        <v>268</v>
      </c>
      <c r="C926" s="2" t="s">
        <v>2308</v>
      </c>
      <c r="D926" s="2" t="s">
        <v>4</v>
      </c>
      <c r="E926" s="6" t="s">
        <v>408</v>
      </c>
      <c r="F926" s="2">
        <v>215</v>
      </c>
    </row>
    <row r="927" spans="1:6" x14ac:dyDescent="0.2">
      <c r="A927" s="6" t="s">
        <v>98</v>
      </c>
      <c r="B927" s="4">
        <v>93</v>
      </c>
      <c r="C927" s="2" t="s">
        <v>2309</v>
      </c>
      <c r="D927" s="2" t="s">
        <v>5</v>
      </c>
      <c r="E927" s="5" t="s">
        <v>409</v>
      </c>
      <c r="F927" s="2">
        <v>194</v>
      </c>
    </row>
    <row r="928" spans="1:6" x14ac:dyDescent="0.2">
      <c r="A928" s="6" t="s">
        <v>298</v>
      </c>
      <c r="B928" s="4">
        <v>294</v>
      </c>
      <c r="C928" s="2" t="s">
        <v>2308</v>
      </c>
      <c r="D928" s="2" t="s">
        <v>5</v>
      </c>
      <c r="E928" s="5" t="s">
        <v>409</v>
      </c>
      <c r="F928" s="2">
        <v>143</v>
      </c>
    </row>
    <row r="929" spans="1:6" x14ac:dyDescent="0.2">
      <c r="A929" s="6" t="s">
        <v>112</v>
      </c>
      <c r="B929" s="4">
        <v>107</v>
      </c>
      <c r="C929" s="2" t="s">
        <v>2310</v>
      </c>
      <c r="D929" s="2" t="s">
        <v>2</v>
      </c>
      <c r="E929" s="5" t="s">
        <v>411</v>
      </c>
      <c r="F929" s="2">
        <v>265</v>
      </c>
    </row>
    <row r="930" spans="1:6" x14ac:dyDescent="0.2">
      <c r="A930" s="6" t="s">
        <v>167</v>
      </c>
      <c r="B930" s="4">
        <v>162</v>
      </c>
      <c r="C930" s="2" t="s">
        <v>2310</v>
      </c>
      <c r="D930" s="2" t="s">
        <v>4</v>
      </c>
      <c r="E930" s="5" t="s">
        <v>411</v>
      </c>
      <c r="F930" s="2">
        <v>274</v>
      </c>
    </row>
    <row r="931" spans="1:6" x14ac:dyDescent="0.2">
      <c r="A931" s="6" t="s">
        <v>226</v>
      </c>
      <c r="B931" s="4">
        <v>222</v>
      </c>
      <c r="C931" s="2" t="s">
        <v>2308</v>
      </c>
      <c r="D931" s="2" t="s">
        <v>3</v>
      </c>
      <c r="E931" s="7" t="s">
        <v>410</v>
      </c>
      <c r="F931" s="2">
        <v>229</v>
      </c>
    </row>
    <row r="932" spans="1:6" x14ac:dyDescent="0.2">
      <c r="A932" s="6" t="s">
        <v>84</v>
      </c>
      <c r="B932" s="4">
        <v>79</v>
      </c>
      <c r="C932" s="2" t="s">
        <v>2309</v>
      </c>
      <c r="D932" s="2" t="s">
        <v>5</v>
      </c>
      <c r="E932" s="5" t="s">
        <v>409</v>
      </c>
      <c r="F932" s="2">
        <v>198</v>
      </c>
    </row>
    <row r="933" spans="1:6" x14ac:dyDescent="0.2">
      <c r="A933" s="6" t="s">
        <v>60</v>
      </c>
      <c r="B933" s="4">
        <v>55</v>
      </c>
      <c r="C933" s="2" t="s">
        <v>2309</v>
      </c>
      <c r="D933" s="2" t="s">
        <v>4</v>
      </c>
      <c r="E933" s="5" t="s">
        <v>409</v>
      </c>
      <c r="F933" s="2">
        <v>123</v>
      </c>
    </row>
    <row r="934" spans="1:6" x14ac:dyDescent="0.2">
      <c r="A934" s="6" t="s">
        <v>198</v>
      </c>
      <c r="B934" s="4">
        <v>194</v>
      </c>
      <c r="C934" s="2" t="s">
        <v>2308</v>
      </c>
      <c r="D934" s="2" t="s">
        <v>2</v>
      </c>
      <c r="E934" s="5" t="s">
        <v>412</v>
      </c>
      <c r="F934" s="2">
        <v>125</v>
      </c>
    </row>
    <row r="935" spans="1:6" x14ac:dyDescent="0.2">
      <c r="A935" s="6" t="s">
        <v>41</v>
      </c>
      <c r="B935" s="4">
        <v>36</v>
      </c>
      <c r="C935" s="2" t="s">
        <v>2309</v>
      </c>
      <c r="D935" s="2" t="s">
        <v>3</v>
      </c>
      <c r="E935" s="5" t="s">
        <v>412</v>
      </c>
      <c r="F935" s="2">
        <v>193</v>
      </c>
    </row>
    <row r="936" spans="1:6" x14ac:dyDescent="0.2">
      <c r="A936" s="6" t="s">
        <v>355</v>
      </c>
      <c r="B936" s="4">
        <v>351</v>
      </c>
      <c r="C936" s="2" t="s">
        <v>2307</v>
      </c>
      <c r="D936" s="2" t="s">
        <v>3</v>
      </c>
      <c r="E936" s="5" t="s">
        <v>408</v>
      </c>
      <c r="F936" s="2">
        <v>124</v>
      </c>
    </row>
    <row r="937" spans="1:6" x14ac:dyDescent="0.2">
      <c r="A937" s="6" t="s">
        <v>127</v>
      </c>
      <c r="B937" s="4">
        <v>122</v>
      </c>
      <c r="C937" s="2" t="s">
        <v>2310</v>
      </c>
      <c r="D937" s="2" t="s">
        <v>3</v>
      </c>
      <c r="E937" s="6" t="s">
        <v>408</v>
      </c>
      <c r="F937" s="2">
        <v>270</v>
      </c>
    </row>
    <row r="938" spans="1:6" x14ac:dyDescent="0.2">
      <c r="A938" s="6" t="s">
        <v>185</v>
      </c>
      <c r="B938" s="4">
        <v>180</v>
      </c>
      <c r="C938" s="2" t="s">
        <v>2310</v>
      </c>
      <c r="D938" s="2" t="s">
        <v>5</v>
      </c>
      <c r="E938" s="7" t="s">
        <v>409</v>
      </c>
      <c r="F938" s="2">
        <v>130</v>
      </c>
    </row>
    <row r="939" spans="1:6" x14ac:dyDescent="0.2">
      <c r="A939" s="6" t="s">
        <v>339</v>
      </c>
      <c r="B939" s="4">
        <v>335</v>
      </c>
      <c r="C939" s="2" t="s">
        <v>2307</v>
      </c>
      <c r="D939" s="2" t="s">
        <v>3</v>
      </c>
      <c r="E939" s="5" t="s">
        <v>410</v>
      </c>
      <c r="F939" s="2">
        <v>230</v>
      </c>
    </row>
    <row r="940" spans="1:6" x14ac:dyDescent="0.2">
      <c r="A940" s="6" t="s">
        <v>87</v>
      </c>
      <c r="B940" s="4">
        <v>82</v>
      </c>
      <c r="C940" s="2" t="s">
        <v>2309</v>
      </c>
      <c r="D940" s="2" t="s">
        <v>5</v>
      </c>
      <c r="E940" s="5" t="s">
        <v>409</v>
      </c>
      <c r="F940" s="2">
        <v>298</v>
      </c>
    </row>
    <row r="941" spans="1:6" x14ac:dyDescent="0.2">
      <c r="A941" s="6" t="s">
        <v>9</v>
      </c>
      <c r="B941" s="4">
        <v>4</v>
      </c>
      <c r="C941" s="2" t="s">
        <v>2309</v>
      </c>
      <c r="D941" s="2" t="s">
        <v>2</v>
      </c>
      <c r="E941" s="5" t="s">
        <v>409</v>
      </c>
      <c r="F941" s="2">
        <v>211</v>
      </c>
    </row>
    <row r="942" spans="1:6" x14ac:dyDescent="0.2">
      <c r="A942" s="6" t="s">
        <v>29</v>
      </c>
      <c r="B942" s="4">
        <v>188</v>
      </c>
      <c r="C942" s="2" t="s">
        <v>2310</v>
      </c>
      <c r="D942" s="2" t="s">
        <v>5</v>
      </c>
      <c r="E942" s="5" t="s">
        <v>412</v>
      </c>
      <c r="F942" s="2">
        <v>186</v>
      </c>
    </row>
    <row r="943" spans="1:6" x14ac:dyDescent="0.2">
      <c r="A943" s="6" t="s">
        <v>182</v>
      </c>
      <c r="B943" s="4">
        <v>177</v>
      </c>
      <c r="C943" s="2" t="s">
        <v>2310</v>
      </c>
      <c r="D943" s="2" t="s">
        <v>5</v>
      </c>
      <c r="E943" s="5" t="s">
        <v>411</v>
      </c>
      <c r="F943" s="2">
        <v>170</v>
      </c>
    </row>
    <row r="944" spans="1:6" x14ac:dyDescent="0.2">
      <c r="A944" s="6" t="s">
        <v>274</v>
      </c>
      <c r="B944" s="4">
        <v>270</v>
      </c>
      <c r="C944" s="2" t="s">
        <v>2308</v>
      </c>
      <c r="D944" s="2" t="s">
        <v>4</v>
      </c>
      <c r="E944" s="5" t="s">
        <v>410</v>
      </c>
      <c r="F944" s="2">
        <v>156</v>
      </c>
    </row>
    <row r="945" spans="1:6" x14ac:dyDescent="0.2">
      <c r="A945" s="6" t="s">
        <v>106</v>
      </c>
      <c r="B945" s="4">
        <v>101</v>
      </c>
      <c r="C945" s="2" t="s">
        <v>2310</v>
      </c>
      <c r="D945" s="2" t="s">
        <v>2</v>
      </c>
      <c r="E945" s="5" t="s">
        <v>410</v>
      </c>
      <c r="F945" s="2">
        <v>144</v>
      </c>
    </row>
    <row r="946" spans="1:6" x14ac:dyDescent="0.2">
      <c r="A946" s="6" t="s">
        <v>173</v>
      </c>
      <c r="B946" s="4">
        <v>168</v>
      </c>
      <c r="C946" s="2" t="s">
        <v>2310</v>
      </c>
      <c r="D946" s="2" t="s">
        <v>5</v>
      </c>
      <c r="E946" s="5" t="s">
        <v>411</v>
      </c>
      <c r="F946" s="2">
        <v>136</v>
      </c>
    </row>
    <row r="947" spans="1:6" x14ac:dyDescent="0.2">
      <c r="A947" s="6" t="s">
        <v>143</v>
      </c>
      <c r="B947" s="4">
        <v>138</v>
      </c>
      <c r="C947" s="2" t="s">
        <v>2310</v>
      </c>
      <c r="D947" s="2" t="s">
        <v>3</v>
      </c>
      <c r="E947" s="7" t="s">
        <v>411</v>
      </c>
      <c r="F947" s="2">
        <v>212</v>
      </c>
    </row>
    <row r="948" spans="1:6" x14ac:dyDescent="0.2">
      <c r="A948" s="6" t="s">
        <v>336</v>
      </c>
      <c r="B948" s="4">
        <v>332</v>
      </c>
      <c r="C948" s="2" t="s">
        <v>2307</v>
      </c>
      <c r="D948" s="2" t="s">
        <v>3</v>
      </c>
      <c r="E948" s="5" t="s">
        <v>412</v>
      </c>
      <c r="F948" s="2">
        <v>285</v>
      </c>
    </row>
    <row r="949" spans="1:6" x14ac:dyDescent="0.2">
      <c r="A949" s="6" t="s">
        <v>325</v>
      </c>
      <c r="B949" s="4">
        <v>321</v>
      </c>
      <c r="C949" s="2" t="s">
        <v>2307</v>
      </c>
      <c r="D949" s="2" t="s">
        <v>2</v>
      </c>
      <c r="E949" s="5" t="s">
        <v>408</v>
      </c>
      <c r="F949" s="2">
        <v>176</v>
      </c>
    </row>
    <row r="950" spans="1:6" x14ac:dyDescent="0.2">
      <c r="A950" s="6" t="s">
        <v>187</v>
      </c>
      <c r="B950" s="4">
        <v>182</v>
      </c>
      <c r="C950" s="2" t="s">
        <v>2310</v>
      </c>
      <c r="D950" s="2" t="s">
        <v>5</v>
      </c>
      <c r="E950" s="7" t="s">
        <v>409</v>
      </c>
      <c r="F950" s="2">
        <v>212</v>
      </c>
    </row>
    <row r="951" spans="1:6" x14ac:dyDescent="0.2">
      <c r="A951" s="6" t="s">
        <v>37</v>
      </c>
      <c r="B951" s="4">
        <v>32</v>
      </c>
      <c r="C951" s="2" t="s">
        <v>2309</v>
      </c>
      <c r="D951" s="2" t="s">
        <v>3</v>
      </c>
      <c r="E951" s="5" t="s">
        <v>412</v>
      </c>
      <c r="F951" s="2">
        <v>278</v>
      </c>
    </row>
    <row r="952" spans="1:6" x14ac:dyDescent="0.2">
      <c r="A952" s="6" t="s">
        <v>190</v>
      </c>
      <c r="B952" s="4">
        <v>185</v>
      </c>
      <c r="C952" s="2" t="s">
        <v>2310</v>
      </c>
      <c r="D952" s="2" t="s">
        <v>5</v>
      </c>
      <c r="E952" s="5" t="s">
        <v>411</v>
      </c>
      <c r="F952" s="2">
        <v>135</v>
      </c>
    </row>
    <row r="953" spans="1:6" x14ac:dyDescent="0.2">
      <c r="A953" s="6" t="s">
        <v>310</v>
      </c>
      <c r="B953" s="4">
        <v>306</v>
      </c>
      <c r="C953" s="2" t="s">
        <v>2307</v>
      </c>
      <c r="D953" s="2" t="s">
        <v>2</v>
      </c>
      <c r="E953" s="5" t="s">
        <v>409</v>
      </c>
      <c r="F953" s="2">
        <v>245</v>
      </c>
    </row>
    <row r="954" spans="1:6" x14ac:dyDescent="0.2">
      <c r="A954" s="6" t="s">
        <v>52</v>
      </c>
      <c r="B954" s="4">
        <v>47</v>
      </c>
      <c r="C954" s="2" t="s">
        <v>2309</v>
      </c>
      <c r="D954" s="2" t="s">
        <v>3</v>
      </c>
      <c r="E954" s="5" t="s">
        <v>408</v>
      </c>
      <c r="F954" s="2">
        <v>188</v>
      </c>
    </row>
    <row r="955" spans="1:6" x14ac:dyDescent="0.2">
      <c r="A955" s="6" t="s">
        <v>336</v>
      </c>
      <c r="B955" s="4">
        <v>332</v>
      </c>
      <c r="C955" s="2" t="s">
        <v>2307</v>
      </c>
      <c r="D955" s="2" t="s">
        <v>3</v>
      </c>
      <c r="E955" s="5" t="s">
        <v>409</v>
      </c>
      <c r="F955" s="2">
        <v>226</v>
      </c>
    </row>
    <row r="956" spans="1:6" x14ac:dyDescent="0.2">
      <c r="A956" s="6" t="s">
        <v>212</v>
      </c>
      <c r="B956" s="4">
        <v>208</v>
      </c>
      <c r="C956" s="2" t="s">
        <v>2308</v>
      </c>
      <c r="D956" s="2" t="s">
        <v>2</v>
      </c>
      <c r="E956" s="5" t="s">
        <v>412</v>
      </c>
      <c r="F956" s="2">
        <v>219</v>
      </c>
    </row>
    <row r="957" spans="1:6" x14ac:dyDescent="0.2">
      <c r="A957" s="6" t="s">
        <v>258</v>
      </c>
      <c r="B957" s="4">
        <v>254</v>
      </c>
      <c r="C957" s="2" t="s">
        <v>2308</v>
      </c>
      <c r="D957" s="2" t="s">
        <v>4</v>
      </c>
      <c r="E957" s="6" t="s">
        <v>408</v>
      </c>
      <c r="F957" s="2">
        <v>223</v>
      </c>
    </row>
    <row r="958" spans="1:6" x14ac:dyDescent="0.2">
      <c r="A958" s="6" t="s">
        <v>314</v>
      </c>
      <c r="B958" s="4">
        <v>310</v>
      </c>
      <c r="C958" s="2" t="s">
        <v>2307</v>
      </c>
      <c r="D958" s="2" t="s">
        <v>2</v>
      </c>
      <c r="E958" s="5" t="s">
        <v>412</v>
      </c>
      <c r="F958" s="2">
        <v>201</v>
      </c>
    </row>
    <row r="959" spans="1:6" x14ac:dyDescent="0.2">
      <c r="A959" s="6" t="s">
        <v>86</v>
      </c>
      <c r="B959" s="4">
        <v>81</v>
      </c>
      <c r="C959" s="2" t="s">
        <v>2309</v>
      </c>
      <c r="D959" s="2" t="s">
        <v>5</v>
      </c>
      <c r="E959" s="5" t="s">
        <v>410</v>
      </c>
      <c r="F959" s="2">
        <v>231</v>
      </c>
    </row>
    <row r="960" spans="1:6" x14ac:dyDescent="0.2">
      <c r="A960" s="6" t="s">
        <v>359</v>
      </c>
      <c r="B960" s="4">
        <v>355</v>
      </c>
      <c r="C960" s="2" t="s">
        <v>2307</v>
      </c>
      <c r="D960" s="2" t="s">
        <v>4</v>
      </c>
      <c r="E960" s="5" t="s">
        <v>408</v>
      </c>
      <c r="F960" s="2">
        <v>212</v>
      </c>
    </row>
    <row r="961" spans="1:6" x14ac:dyDescent="0.2">
      <c r="A961" s="6" t="s">
        <v>164</v>
      </c>
      <c r="B961" s="4">
        <v>159</v>
      </c>
      <c r="C961" s="2" t="s">
        <v>2310</v>
      </c>
      <c r="D961" s="2" t="s">
        <v>4</v>
      </c>
      <c r="E961" s="5" t="s">
        <v>412</v>
      </c>
      <c r="F961" s="2">
        <v>214</v>
      </c>
    </row>
    <row r="962" spans="1:6" x14ac:dyDescent="0.2">
      <c r="A962" s="6" t="s">
        <v>63</v>
      </c>
      <c r="B962" s="4">
        <v>58</v>
      </c>
      <c r="C962" s="2" t="s">
        <v>2309</v>
      </c>
      <c r="D962" s="2" t="s">
        <v>4</v>
      </c>
      <c r="E962" s="5" t="s">
        <v>411</v>
      </c>
      <c r="F962" s="2">
        <v>266</v>
      </c>
    </row>
    <row r="963" spans="1:6" x14ac:dyDescent="0.2">
      <c r="A963" s="6" t="s">
        <v>124</v>
      </c>
      <c r="B963" s="4">
        <v>119</v>
      </c>
      <c r="C963" s="2" t="s">
        <v>2310</v>
      </c>
      <c r="D963" s="2" t="s">
        <v>3</v>
      </c>
      <c r="E963" s="7" t="s">
        <v>409</v>
      </c>
      <c r="F963" s="2">
        <v>277</v>
      </c>
    </row>
    <row r="964" spans="1:6" x14ac:dyDescent="0.2">
      <c r="A964" s="6" t="s">
        <v>374</v>
      </c>
      <c r="B964" s="4">
        <v>370</v>
      </c>
      <c r="C964" s="2" t="s">
        <v>2307</v>
      </c>
      <c r="D964" s="2" t="s">
        <v>4</v>
      </c>
      <c r="E964" s="5" t="s">
        <v>411</v>
      </c>
      <c r="F964" s="2">
        <v>152</v>
      </c>
    </row>
    <row r="965" spans="1:6" x14ac:dyDescent="0.2">
      <c r="A965" s="6" t="s">
        <v>282</v>
      </c>
      <c r="B965" s="4">
        <v>278</v>
      </c>
      <c r="C965" s="2" t="s">
        <v>2308</v>
      </c>
      <c r="D965" s="2" t="s">
        <v>5</v>
      </c>
      <c r="E965" s="5" t="s">
        <v>411</v>
      </c>
      <c r="F965" s="2">
        <v>197</v>
      </c>
    </row>
    <row r="966" spans="1:6" x14ac:dyDescent="0.2">
      <c r="A966" s="6" t="s">
        <v>309</v>
      </c>
      <c r="B966" s="4">
        <v>305</v>
      </c>
      <c r="C966" s="2" t="s">
        <v>2307</v>
      </c>
      <c r="D966" s="2" t="s">
        <v>2</v>
      </c>
      <c r="E966" s="5" t="s">
        <v>409</v>
      </c>
      <c r="F966" s="2">
        <v>240</v>
      </c>
    </row>
    <row r="967" spans="1:6" x14ac:dyDescent="0.2">
      <c r="A967" s="6" t="s">
        <v>381</v>
      </c>
      <c r="B967" s="4">
        <v>377</v>
      </c>
      <c r="C967" s="2" t="s">
        <v>2307</v>
      </c>
      <c r="D967" s="2" t="s">
        <v>5</v>
      </c>
      <c r="E967" s="5" t="s">
        <v>409</v>
      </c>
      <c r="F967" s="2">
        <v>179</v>
      </c>
    </row>
    <row r="968" spans="1:6" x14ac:dyDescent="0.2">
      <c r="A968" s="6" t="s">
        <v>363</v>
      </c>
      <c r="B968" s="4">
        <v>359</v>
      </c>
      <c r="C968" s="2" t="s">
        <v>2307</v>
      </c>
      <c r="D968" s="2" t="s">
        <v>4</v>
      </c>
      <c r="E968" s="5" t="s">
        <v>408</v>
      </c>
      <c r="F968" s="2">
        <v>257</v>
      </c>
    </row>
    <row r="969" spans="1:6" x14ac:dyDescent="0.2">
      <c r="A969" s="6" t="s">
        <v>229</v>
      </c>
      <c r="B969" s="4">
        <v>225</v>
      </c>
      <c r="C969" s="2" t="s">
        <v>2308</v>
      </c>
      <c r="D969" s="2" t="s">
        <v>3</v>
      </c>
      <c r="E969" s="5" t="s">
        <v>412</v>
      </c>
      <c r="F969" s="2">
        <v>237</v>
      </c>
    </row>
    <row r="970" spans="1:6" x14ac:dyDescent="0.2">
      <c r="A970" s="6" t="s">
        <v>173</v>
      </c>
      <c r="B970" s="4">
        <v>168</v>
      </c>
      <c r="C970" s="2" t="s">
        <v>2310</v>
      </c>
      <c r="D970" s="2" t="s">
        <v>5</v>
      </c>
      <c r="E970" s="6" t="s">
        <v>408</v>
      </c>
      <c r="F970" s="2">
        <v>169</v>
      </c>
    </row>
    <row r="971" spans="1:6" x14ac:dyDescent="0.2">
      <c r="A971" s="6" t="s">
        <v>400</v>
      </c>
      <c r="B971" s="4">
        <v>396</v>
      </c>
      <c r="C971" s="2" t="s">
        <v>2307</v>
      </c>
      <c r="D971" s="2" t="s">
        <v>5</v>
      </c>
      <c r="E971" s="5" t="s">
        <v>410</v>
      </c>
      <c r="F971" s="2">
        <v>122</v>
      </c>
    </row>
    <row r="972" spans="1:6" x14ac:dyDescent="0.2">
      <c r="A972" s="6" t="s">
        <v>254</v>
      </c>
      <c r="B972" s="4">
        <v>250</v>
      </c>
      <c r="C972" s="2" t="s">
        <v>2308</v>
      </c>
      <c r="D972" s="2" t="s">
        <v>4</v>
      </c>
      <c r="E972" s="5" t="s">
        <v>410</v>
      </c>
      <c r="F972" s="2">
        <v>288</v>
      </c>
    </row>
    <row r="973" spans="1:6" x14ac:dyDescent="0.2">
      <c r="A973" s="6" t="s">
        <v>111</v>
      </c>
      <c r="B973" s="4">
        <v>106</v>
      </c>
      <c r="C973" s="2" t="s">
        <v>2310</v>
      </c>
      <c r="D973" s="2" t="s">
        <v>2</v>
      </c>
      <c r="E973" s="5" t="s">
        <v>410</v>
      </c>
      <c r="F973" s="2">
        <v>253</v>
      </c>
    </row>
    <row r="974" spans="1:6" x14ac:dyDescent="0.2">
      <c r="A974" s="6" t="s">
        <v>157</v>
      </c>
      <c r="B974" s="4">
        <v>152</v>
      </c>
      <c r="C974" s="2" t="s">
        <v>2310</v>
      </c>
      <c r="D974" s="2" t="s">
        <v>4</v>
      </c>
      <c r="E974" s="5" t="s">
        <v>412</v>
      </c>
      <c r="F974" s="2">
        <v>192</v>
      </c>
    </row>
    <row r="975" spans="1:6" x14ac:dyDescent="0.2">
      <c r="A975" s="6" t="s">
        <v>283</v>
      </c>
      <c r="B975" s="4">
        <v>279</v>
      </c>
      <c r="C975" s="2" t="s">
        <v>2308</v>
      </c>
      <c r="D975" s="2" t="s">
        <v>5</v>
      </c>
      <c r="E975" s="5" t="s">
        <v>411</v>
      </c>
      <c r="F975" s="2">
        <v>217</v>
      </c>
    </row>
    <row r="976" spans="1:6" x14ac:dyDescent="0.2">
      <c r="A976" s="6" t="s">
        <v>253</v>
      </c>
      <c r="B976" s="4">
        <v>249</v>
      </c>
      <c r="C976" s="2" t="s">
        <v>2308</v>
      </c>
      <c r="D976" s="2" t="s">
        <v>4</v>
      </c>
      <c r="E976" s="5" t="s">
        <v>411</v>
      </c>
      <c r="F976" s="2">
        <v>125</v>
      </c>
    </row>
    <row r="977" spans="1:6" x14ac:dyDescent="0.2">
      <c r="A977" s="6" t="s">
        <v>352</v>
      </c>
      <c r="B977" s="4">
        <v>348</v>
      </c>
      <c r="C977" s="2" t="s">
        <v>2307</v>
      </c>
      <c r="D977" s="2" t="s">
        <v>3</v>
      </c>
      <c r="E977" s="5" t="s">
        <v>409</v>
      </c>
      <c r="F977" s="2">
        <v>144</v>
      </c>
    </row>
    <row r="978" spans="1:6" x14ac:dyDescent="0.2">
      <c r="A978" s="6" t="s">
        <v>24</v>
      </c>
      <c r="B978" s="4">
        <v>19</v>
      </c>
      <c r="C978" s="2" t="s">
        <v>2309</v>
      </c>
      <c r="D978" s="2" t="s">
        <v>2</v>
      </c>
      <c r="E978" s="5" t="s">
        <v>410</v>
      </c>
      <c r="F978" s="2">
        <v>235</v>
      </c>
    </row>
    <row r="979" spans="1:6" x14ac:dyDescent="0.2">
      <c r="A979" s="6" t="s">
        <v>148</v>
      </c>
      <c r="B979" s="4">
        <v>143</v>
      </c>
      <c r="C979" s="2" t="s">
        <v>2310</v>
      </c>
      <c r="D979" s="2" t="s">
        <v>4</v>
      </c>
      <c r="E979" s="5" t="s">
        <v>410</v>
      </c>
      <c r="F979" s="2">
        <v>136</v>
      </c>
    </row>
    <row r="980" spans="1:6" x14ac:dyDescent="0.2">
      <c r="A980" s="6" t="s">
        <v>397</v>
      </c>
      <c r="B980" s="4">
        <v>393</v>
      </c>
      <c r="C980" s="2" t="s">
        <v>2307</v>
      </c>
      <c r="D980" s="2" t="s">
        <v>5</v>
      </c>
      <c r="E980" s="5" t="s">
        <v>412</v>
      </c>
      <c r="F980" s="2">
        <v>223</v>
      </c>
    </row>
    <row r="981" spans="1:6" x14ac:dyDescent="0.2">
      <c r="A981" s="6" t="s">
        <v>351</v>
      </c>
      <c r="B981" s="4">
        <v>347</v>
      </c>
      <c r="C981" s="2" t="s">
        <v>2307</v>
      </c>
      <c r="D981" s="2" t="s">
        <v>3</v>
      </c>
      <c r="E981" s="5" t="s">
        <v>409</v>
      </c>
      <c r="F981" s="2">
        <v>239</v>
      </c>
    </row>
    <row r="982" spans="1:6" x14ac:dyDescent="0.2">
      <c r="A982" s="6" t="s">
        <v>179</v>
      </c>
      <c r="B982" s="4">
        <v>174</v>
      </c>
      <c r="C982" s="2" t="s">
        <v>2310</v>
      </c>
      <c r="D982" s="2" t="s">
        <v>5</v>
      </c>
      <c r="E982" s="5" t="s">
        <v>411</v>
      </c>
      <c r="F982" s="2">
        <v>170</v>
      </c>
    </row>
    <row r="983" spans="1:6" x14ac:dyDescent="0.2">
      <c r="A983" s="6" t="s">
        <v>88</v>
      </c>
      <c r="B983" s="4">
        <v>83</v>
      </c>
      <c r="C983" s="2" t="s">
        <v>2309</v>
      </c>
      <c r="D983" s="2" t="s">
        <v>5</v>
      </c>
      <c r="E983" s="5" t="s">
        <v>412</v>
      </c>
      <c r="F983" s="2">
        <v>159</v>
      </c>
    </row>
    <row r="984" spans="1:6" x14ac:dyDescent="0.2">
      <c r="A984" s="6" t="s">
        <v>53</v>
      </c>
      <c r="B984" s="4">
        <v>48</v>
      </c>
      <c r="C984" s="2" t="s">
        <v>2309</v>
      </c>
      <c r="D984" s="2" t="s">
        <v>3</v>
      </c>
      <c r="E984" s="5" t="s">
        <v>411</v>
      </c>
      <c r="F984" s="2">
        <v>280</v>
      </c>
    </row>
    <row r="985" spans="1:6" x14ac:dyDescent="0.2">
      <c r="A985" s="6" t="s">
        <v>117</v>
      </c>
      <c r="B985" s="4">
        <v>112</v>
      </c>
      <c r="C985" s="2" t="s">
        <v>2310</v>
      </c>
      <c r="D985" s="2" t="s">
        <v>2</v>
      </c>
      <c r="E985" s="5" t="s">
        <v>410</v>
      </c>
      <c r="F985" s="2">
        <v>220</v>
      </c>
    </row>
    <row r="986" spans="1:6" x14ac:dyDescent="0.2">
      <c r="A986" s="6" t="s">
        <v>342</v>
      </c>
      <c r="B986" s="4">
        <v>338</v>
      </c>
      <c r="C986" s="2" t="s">
        <v>2307</v>
      </c>
      <c r="D986" s="2" t="s">
        <v>3</v>
      </c>
      <c r="E986" s="5" t="s">
        <v>412</v>
      </c>
      <c r="F986" s="2">
        <v>199</v>
      </c>
    </row>
    <row r="987" spans="1:6" x14ac:dyDescent="0.2">
      <c r="A987" s="6" t="s">
        <v>333</v>
      </c>
      <c r="B987" s="4">
        <v>329</v>
      </c>
      <c r="C987" s="2" t="s">
        <v>2307</v>
      </c>
      <c r="D987" s="2" t="s">
        <v>3</v>
      </c>
      <c r="E987" s="5" t="s">
        <v>411</v>
      </c>
      <c r="F987" s="2">
        <v>220</v>
      </c>
    </row>
    <row r="988" spans="1:6" x14ac:dyDescent="0.2">
      <c r="A988" s="6" t="s">
        <v>37</v>
      </c>
      <c r="B988" s="4">
        <v>32</v>
      </c>
      <c r="C988" s="2" t="s">
        <v>2309</v>
      </c>
      <c r="D988" s="2" t="s">
        <v>3</v>
      </c>
      <c r="E988" s="5" t="s">
        <v>409</v>
      </c>
      <c r="F988" s="2">
        <v>276</v>
      </c>
    </row>
    <row r="989" spans="1:6" x14ac:dyDescent="0.2">
      <c r="A989" s="6" t="s">
        <v>122</v>
      </c>
      <c r="B989" s="4">
        <v>117</v>
      </c>
      <c r="C989" s="2" t="s">
        <v>2310</v>
      </c>
      <c r="D989" s="2" t="s">
        <v>2</v>
      </c>
      <c r="E989" s="5" t="s">
        <v>411</v>
      </c>
      <c r="F989" s="2">
        <v>246</v>
      </c>
    </row>
    <row r="990" spans="1:6" x14ac:dyDescent="0.2">
      <c r="A990" s="6" t="s">
        <v>118</v>
      </c>
      <c r="B990" s="4">
        <v>113</v>
      </c>
      <c r="C990" s="2" t="s">
        <v>2310</v>
      </c>
      <c r="D990" s="2" t="s">
        <v>2</v>
      </c>
      <c r="E990" s="5" t="s">
        <v>408</v>
      </c>
      <c r="F990" s="2">
        <v>163</v>
      </c>
    </row>
    <row r="991" spans="1:6" x14ac:dyDescent="0.2">
      <c r="A991" s="6" t="s">
        <v>44</v>
      </c>
      <c r="B991" s="4">
        <v>39</v>
      </c>
      <c r="C991" s="2" t="s">
        <v>2309</v>
      </c>
      <c r="D991" s="2" t="s">
        <v>3</v>
      </c>
      <c r="E991" s="5" t="s">
        <v>408</v>
      </c>
      <c r="F991" s="2">
        <v>188</v>
      </c>
    </row>
    <row r="992" spans="1:6" x14ac:dyDescent="0.2">
      <c r="A992" s="6" t="s">
        <v>371</v>
      </c>
      <c r="B992" s="4">
        <v>367</v>
      </c>
      <c r="C992" s="2" t="s">
        <v>2307</v>
      </c>
      <c r="D992" s="2" t="s">
        <v>4</v>
      </c>
      <c r="E992" s="5" t="s">
        <v>408</v>
      </c>
      <c r="F992" s="2">
        <v>188</v>
      </c>
    </row>
    <row r="993" spans="1:6" x14ac:dyDescent="0.2">
      <c r="A993" s="6" t="s">
        <v>313</v>
      </c>
      <c r="B993" s="4">
        <v>309</v>
      </c>
      <c r="C993" s="2" t="s">
        <v>2307</v>
      </c>
      <c r="D993" s="2" t="s">
        <v>2</v>
      </c>
      <c r="E993" s="5" t="s">
        <v>409</v>
      </c>
      <c r="F993" s="2">
        <v>177</v>
      </c>
    </row>
    <row r="994" spans="1:6" x14ac:dyDescent="0.2">
      <c r="A994" s="6" t="s">
        <v>167</v>
      </c>
      <c r="B994" s="4">
        <v>162</v>
      </c>
      <c r="C994" s="2" t="s">
        <v>2310</v>
      </c>
      <c r="D994" s="2" t="s">
        <v>4</v>
      </c>
      <c r="E994" s="7" t="s">
        <v>409</v>
      </c>
      <c r="F994" s="2">
        <v>248</v>
      </c>
    </row>
    <row r="995" spans="1:6" x14ac:dyDescent="0.2">
      <c r="A995" s="6" t="s">
        <v>218</v>
      </c>
      <c r="B995" s="4">
        <v>214</v>
      </c>
      <c r="C995" s="2" t="s">
        <v>2308</v>
      </c>
      <c r="D995" s="2" t="s">
        <v>2</v>
      </c>
      <c r="E995" s="5" t="s">
        <v>411</v>
      </c>
      <c r="F995" s="2">
        <v>295</v>
      </c>
    </row>
    <row r="996" spans="1:6" x14ac:dyDescent="0.2">
      <c r="A996" s="6" t="s">
        <v>220</v>
      </c>
      <c r="B996" s="4">
        <v>216</v>
      </c>
      <c r="C996" s="2" t="s">
        <v>2308</v>
      </c>
      <c r="D996" s="2" t="s">
        <v>3</v>
      </c>
      <c r="E996" s="7" t="s">
        <v>410</v>
      </c>
      <c r="F996" s="2">
        <v>126</v>
      </c>
    </row>
    <row r="997" spans="1:6" x14ac:dyDescent="0.2">
      <c r="A997" s="6" t="s">
        <v>18</v>
      </c>
      <c r="B997" s="4">
        <v>13</v>
      </c>
      <c r="C997" s="2" t="s">
        <v>2309</v>
      </c>
      <c r="D997" s="2" t="s">
        <v>2</v>
      </c>
      <c r="E997" s="5" t="s">
        <v>412</v>
      </c>
      <c r="F997" s="2">
        <v>190</v>
      </c>
    </row>
    <row r="998" spans="1:6" x14ac:dyDescent="0.2">
      <c r="A998" s="6" t="s">
        <v>19</v>
      </c>
      <c r="B998" s="4">
        <v>14</v>
      </c>
      <c r="C998" s="2" t="s">
        <v>2309</v>
      </c>
      <c r="D998" s="2" t="s">
        <v>2</v>
      </c>
      <c r="E998" s="5" t="s">
        <v>412</v>
      </c>
      <c r="F998" s="2">
        <v>141</v>
      </c>
    </row>
    <row r="999" spans="1:6" x14ac:dyDescent="0.2">
      <c r="A999" s="6" t="s">
        <v>313</v>
      </c>
      <c r="B999" s="4">
        <v>309</v>
      </c>
      <c r="C999" s="2" t="s">
        <v>2307</v>
      </c>
      <c r="D999" s="2" t="s">
        <v>2</v>
      </c>
      <c r="E999" s="5" t="s">
        <v>408</v>
      </c>
      <c r="F999" s="2">
        <v>210</v>
      </c>
    </row>
    <row r="1000" spans="1:6" x14ac:dyDescent="0.2">
      <c r="A1000" s="6" t="s">
        <v>278</v>
      </c>
      <c r="B1000" s="4">
        <v>274</v>
      </c>
      <c r="C1000" s="2" t="s">
        <v>2308</v>
      </c>
      <c r="D1000" s="2" t="s">
        <v>5</v>
      </c>
      <c r="E1000" s="6" t="s">
        <v>408</v>
      </c>
      <c r="F1000" s="2">
        <v>295</v>
      </c>
    </row>
    <row r="1001" spans="1:6" x14ac:dyDescent="0.2">
      <c r="A1001" s="6" t="s">
        <v>84</v>
      </c>
      <c r="B1001" s="4">
        <v>79</v>
      </c>
      <c r="C1001" s="2" t="s">
        <v>2309</v>
      </c>
      <c r="D1001" s="2" t="s">
        <v>5</v>
      </c>
      <c r="E1001" s="5" t="s">
        <v>412</v>
      </c>
      <c r="F1001" s="2">
        <v>251</v>
      </c>
    </row>
    <row r="1002" spans="1:6" x14ac:dyDescent="0.2">
      <c r="A1002" s="6" t="s">
        <v>191</v>
      </c>
      <c r="B1002" s="4">
        <v>186</v>
      </c>
      <c r="C1002" s="2" t="s">
        <v>2310</v>
      </c>
      <c r="D1002" s="2" t="s">
        <v>5</v>
      </c>
      <c r="E1002" s="5" t="s">
        <v>412</v>
      </c>
      <c r="F1002" s="2">
        <v>131</v>
      </c>
    </row>
    <row r="1003" spans="1:6" x14ac:dyDescent="0.2">
      <c r="A1003" s="6" t="s">
        <v>240</v>
      </c>
      <c r="B1003" s="4">
        <v>236</v>
      </c>
      <c r="C1003" s="2" t="s">
        <v>2308</v>
      </c>
      <c r="D1003" s="2" t="s">
        <v>3</v>
      </c>
      <c r="E1003" s="5" t="s">
        <v>412</v>
      </c>
      <c r="F1003" s="2">
        <v>175</v>
      </c>
    </row>
    <row r="1004" spans="1:6" x14ac:dyDescent="0.2">
      <c r="A1004" s="6" t="s">
        <v>87</v>
      </c>
      <c r="B1004" s="4">
        <v>82</v>
      </c>
      <c r="C1004" s="2" t="s">
        <v>2309</v>
      </c>
      <c r="D1004" s="2" t="s">
        <v>5</v>
      </c>
      <c r="E1004" s="5" t="s">
        <v>410</v>
      </c>
      <c r="F1004" s="2">
        <v>122</v>
      </c>
    </row>
    <row r="1005" spans="1:6" x14ac:dyDescent="0.2">
      <c r="A1005" s="6" t="s">
        <v>23</v>
      </c>
      <c r="B1005" s="4">
        <v>18</v>
      </c>
      <c r="C1005" s="2" t="s">
        <v>2309</v>
      </c>
      <c r="D1005" s="2" t="s">
        <v>2</v>
      </c>
      <c r="E1005" s="5" t="s">
        <v>411</v>
      </c>
      <c r="F1005" s="2">
        <v>207</v>
      </c>
    </row>
    <row r="1006" spans="1:6" x14ac:dyDescent="0.2">
      <c r="A1006" s="6" t="s">
        <v>350</v>
      </c>
      <c r="B1006" s="4">
        <v>346</v>
      </c>
      <c r="C1006" s="2" t="s">
        <v>2307</v>
      </c>
      <c r="D1006" s="2" t="s">
        <v>3</v>
      </c>
      <c r="E1006" s="5" t="s">
        <v>408</v>
      </c>
      <c r="F1006" s="2">
        <v>296</v>
      </c>
    </row>
    <row r="1007" spans="1:6" x14ac:dyDescent="0.2">
      <c r="A1007" s="6" t="s">
        <v>406</v>
      </c>
      <c r="B1007" s="4">
        <v>402</v>
      </c>
      <c r="C1007" s="2" t="s">
        <v>2307</v>
      </c>
      <c r="D1007" s="2" t="s">
        <v>5</v>
      </c>
      <c r="E1007" s="5" t="s">
        <v>412</v>
      </c>
      <c r="F1007" s="2">
        <v>281</v>
      </c>
    </row>
    <row r="1008" spans="1:6" x14ac:dyDescent="0.2">
      <c r="A1008" s="6" t="s">
        <v>370</v>
      </c>
      <c r="B1008" s="4">
        <v>366</v>
      </c>
      <c r="C1008" s="2" t="s">
        <v>2307</v>
      </c>
      <c r="D1008" s="2" t="s">
        <v>4</v>
      </c>
      <c r="E1008" s="5" t="s">
        <v>411</v>
      </c>
      <c r="F1008" s="2">
        <v>218</v>
      </c>
    </row>
    <row r="1009" spans="1:6" x14ac:dyDescent="0.2">
      <c r="A1009" s="6" t="s">
        <v>301</v>
      </c>
      <c r="B1009" s="4">
        <v>297</v>
      </c>
      <c r="C1009" s="2" t="s">
        <v>2307</v>
      </c>
      <c r="D1009" s="2" t="s">
        <v>2</v>
      </c>
      <c r="E1009" s="5" t="s">
        <v>411</v>
      </c>
      <c r="F1009" s="2">
        <v>257</v>
      </c>
    </row>
    <row r="1010" spans="1:6" x14ac:dyDescent="0.2">
      <c r="A1010" s="6" t="s">
        <v>8</v>
      </c>
      <c r="B1010" s="4">
        <v>3</v>
      </c>
      <c r="C1010" s="2" t="s">
        <v>2309</v>
      </c>
      <c r="D1010" s="2" t="s">
        <v>2</v>
      </c>
      <c r="E1010" s="5" t="s">
        <v>411</v>
      </c>
      <c r="F1010" s="2">
        <v>280</v>
      </c>
    </row>
    <row r="1011" spans="1:6" x14ac:dyDescent="0.2">
      <c r="A1011" s="6" t="s">
        <v>259</v>
      </c>
      <c r="B1011" s="4">
        <v>255</v>
      </c>
      <c r="C1011" s="2" t="s">
        <v>2308</v>
      </c>
      <c r="D1011" s="2" t="s">
        <v>4</v>
      </c>
      <c r="E1011" s="6" t="s">
        <v>408</v>
      </c>
      <c r="F1011" s="2">
        <v>282</v>
      </c>
    </row>
    <row r="1012" spans="1:6" x14ac:dyDescent="0.2">
      <c r="A1012" s="6" t="s">
        <v>191</v>
      </c>
      <c r="B1012" s="4">
        <v>186</v>
      </c>
      <c r="C1012" s="2" t="s">
        <v>2310</v>
      </c>
      <c r="D1012" s="2" t="s">
        <v>5</v>
      </c>
      <c r="E1012" s="7" t="s">
        <v>409</v>
      </c>
      <c r="F1012" s="2">
        <v>260</v>
      </c>
    </row>
    <row r="1013" spans="1:6" x14ac:dyDescent="0.2">
      <c r="A1013" s="6" t="s">
        <v>230</v>
      </c>
      <c r="B1013" s="4">
        <v>226</v>
      </c>
      <c r="C1013" s="2" t="s">
        <v>2308</v>
      </c>
      <c r="D1013" s="2" t="s">
        <v>3</v>
      </c>
      <c r="E1013" s="6" t="s">
        <v>408</v>
      </c>
      <c r="F1013" s="2">
        <v>299</v>
      </c>
    </row>
    <row r="1014" spans="1:6" x14ac:dyDescent="0.2">
      <c r="A1014" s="6" t="s">
        <v>82</v>
      </c>
      <c r="B1014" s="4">
        <v>77</v>
      </c>
      <c r="C1014" s="2" t="s">
        <v>2309</v>
      </c>
      <c r="D1014" s="2" t="s">
        <v>5</v>
      </c>
      <c r="E1014" s="5" t="s">
        <v>410</v>
      </c>
      <c r="F1014" s="2">
        <v>143</v>
      </c>
    </row>
    <row r="1015" spans="1:6" x14ac:dyDescent="0.2">
      <c r="A1015" s="6" t="s">
        <v>315</v>
      </c>
      <c r="B1015" s="4">
        <v>311</v>
      </c>
      <c r="C1015" s="2" t="s">
        <v>2307</v>
      </c>
      <c r="D1015" s="2" t="s">
        <v>2</v>
      </c>
      <c r="E1015" s="5" t="s">
        <v>411</v>
      </c>
      <c r="F1015" s="2">
        <v>211</v>
      </c>
    </row>
    <row r="1016" spans="1:6" x14ac:dyDescent="0.2">
      <c r="A1016" s="6" t="s">
        <v>314</v>
      </c>
      <c r="B1016" s="4">
        <v>310</v>
      </c>
      <c r="C1016" s="2" t="s">
        <v>2307</v>
      </c>
      <c r="D1016" s="2" t="s">
        <v>2</v>
      </c>
      <c r="E1016" s="5" t="s">
        <v>409</v>
      </c>
      <c r="F1016" s="2">
        <v>133</v>
      </c>
    </row>
    <row r="1017" spans="1:6" x14ac:dyDescent="0.2">
      <c r="A1017" s="6" t="s">
        <v>115</v>
      </c>
      <c r="B1017" s="4">
        <v>110</v>
      </c>
      <c r="C1017" s="2" t="s">
        <v>2310</v>
      </c>
      <c r="D1017" s="2" t="s">
        <v>2</v>
      </c>
      <c r="E1017" s="5" t="s">
        <v>408</v>
      </c>
      <c r="F1017" s="2">
        <v>216</v>
      </c>
    </row>
    <row r="1018" spans="1:6" x14ac:dyDescent="0.2">
      <c r="A1018" s="6" t="s">
        <v>10</v>
      </c>
      <c r="B1018" s="4">
        <v>5</v>
      </c>
      <c r="C1018" s="2" t="s">
        <v>2309</v>
      </c>
      <c r="D1018" s="2" t="s">
        <v>2</v>
      </c>
      <c r="E1018" s="5" t="s">
        <v>409</v>
      </c>
      <c r="F1018" s="2">
        <v>230</v>
      </c>
    </row>
    <row r="1019" spans="1:6" x14ac:dyDescent="0.2">
      <c r="A1019" s="6" t="s">
        <v>321</v>
      </c>
      <c r="B1019" s="4">
        <v>317</v>
      </c>
      <c r="C1019" s="2" t="s">
        <v>2307</v>
      </c>
      <c r="D1019" s="2" t="s">
        <v>2</v>
      </c>
      <c r="E1019" s="5" t="s">
        <v>408</v>
      </c>
      <c r="F1019" s="2">
        <v>292</v>
      </c>
    </row>
    <row r="1020" spans="1:6" x14ac:dyDescent="0.2">
      <c r="A1020" s="6" t="s">
        <v>238</v>
      </c>
      <c r="B1020" s="4">
        <v>234</v>
      </c>
      <c r="C1020" s="2" t="s">
        <v>2308</v>
      </c>
      <c r="D1020" s="2" t="s">
        <v>3</v>
      </c>
      <c r="E1020" s="7" t="s">
        <v>411</v>
      </c>
      <c r="F1020" s="2">
        <v>191</v>
      </c>
    </row>
    <row r="1021" spans="1:6" x14ac:dyDescent="0.2">
      <c r="A1021" s="6" t="s">
        <v>212</v>
      </c>
      <c r="B1021" s="4">
        <v>208</v>
      </c>
      <c r="C1021" s="2" t="s">
        <v>2308</v>
      </c>
      <c r="D1021" s="2" t="s">
        <v>2</v>
      </c>
      <c r="E1021" s="6" t="s">
        <v>408</v>
      </c>
      <c r="F1021" s="2">
        <v>220</v>
      </c>
    </row>
    <row r="1022" spans="1:6" x14ac:dyDescent="0.2">
      <c r="A1022" s="6" t="s">
        <v>201</v>
      </c>
      <c r="B1022" s="4">
        <v>197</v>
      </c>
      <c r="C1022" s="2" t="s">
        <v>2308</v>
      </c>
      <c r="D1022" s="2" t="s">
        <v>2</v>
      </c>
      <c r="E1022" s="5" t="s">
        <v>410</v>
      </c>
      <c r="F1022" s="2">
        <v>235</v>
      </c>
    </row>
    <row r="1023" spans="1:6" x14ac:dyDescent="0.2">
      <c r="A1023" s="6" t="s">
        <v>259</v>
      </c>
      <c r="B1023" s="4">
        <v>255</v>
      </c>
      <c r="C1023" s="2" t="s">
        <v>2308</v>
      </c>
      <c r="D1023" s="2" t="s">
        <v>4</v>
      </c>
      <c r="E1023" s="5" t="s">
        <v>410</v>
      </c>
      <c r="F1023" s="2">
        <v>164</v>
      </c>
    </row>
    <row r="1024" spans="1:6" x14ac:dyDescent="0.2">
      <c r="A1024" s="6" t="s">
        <v>215</v>
      </c>
      <c r="B1024" s="4">
        <v>211</v>
      </c>
      <c r="C1024" s="2" t="s">
        <v>2308</v>
      </c>
      <c r="D1024" s="2" t="s">
        <v>2</v>
      </c>
      <c r="E1024" s="5" t="s">
        <v>410</v>
      </c>
      <c r="F1024" s="2">
        <v>201</v>
      </c>
    </row>
    <row r="1025" spans="1:6" x14ac:dyDescent="0.2">
      <c r="A1025" s="6" t="s">
        <v>103</v>
      </c>
      <c r="B1025" s="4">
        <v>98</v>
      </c>
      <c r="C1025" s="2" t="s">
        <v>2309</v>
      </c>
      <c r="D1025" s="2" t="s">
        <v>5</v>
      </c>
      <c r="E1025" s="5" t="s">
        <v>410</v>
      </c>
      <c r="F1025" s="2">
        <v>218</v>
      </c>
    </row>
    <row r="1026" spans="1:6" x14ac:dyDescent="0.2">
      <c r="A1026" s="6" t="s">
        <v>401</v>
      </c>
      <c r="B1026" s="4">
        <v>397</v>
      </c>
      <c r="C1026" s="2" t="s">
        <v>2307</v>
      </c>
      <c r="D1026" s="2" t="s">
        <v>5</v>
      </c>
      <c r="E1026" s="5" t="s">
        <v>409</v>
      </c>
      <c r="F1026" s="2">
        <v>154</v>
      </c>
    </row>
    <row r="1027" spans="1:6" x14ac:dyDescent="0.2">
      <c r="A1027" s="6" t="s">
        <v>334</v>
      </c>
      <c r="B1027" s="4">
        <v>330</v>
      </c>
      <c r="C1027" s="2" t="s">
        <v>2307</v>
      </c>
      <c r="D1027" s="2" t="s">
        <v>3</v>
      </c>
      <c r="E1027" s="5" t="s">
        <v>411</v>
      </c>
      <c r="F1027" s="2">
        <v>198</v>
      </c>
    </row>
    <row r="1028" spans="1:6" x14ac:dyDescent="0.2">
      <c r="A1028" s="6" t="s">
        <v>234</v>
      </c>
      <c r="B1028" s="4">
        <v>230</v>
      </c>
      <c r="C1028" s="2" t="s">
        <v>2308</v>
      </c>
      <c r="D1028" s="2" t="s">
        <v>3</v>
      </c>
      <c r="E1028" s="7" t="s">
        <v>410</v>
      </c>
      <c r="F1028" s="2">
        <v>154</v>
      </c>
    </row>
    <row r="1029" spans="1:6" x14ac:dyDescent="0.2">
      <c r="A1029" s="6" t="s">
        <v>293</v>
      </c>
      <c r="B1029" s="4">
        <v>289</v>
      </c>
      <c r="C1029" s="2" t="s">
        <v>2308</v>
      </c>
      <c r="D1029" s="2" t="s">
        <v>5</v>
      </c>
      <c r="E1029" s="5" t="s">
        <v>412</v>
      </c>
      <c r="F1029" s="2">
        <v>243</v>
      </c>
    </row>
    <row r="1030" spans="1:6" x14ac:dyDescent="0.2">
      <c r="A1030" s="6" t="s">
        <v>31</v>
      </c>
      <c r="B1030" s="4">
        <v>26</v>
      </c>
      <c r="C1030" s="2" t="s">
        <v>2309</v>
      </c>
      <c r="D1030" s="2" t="s">
        <v>2</v>
      </c>
      <c r="E1030" s="5" t="s">
        <v>412</v>
      </c>
      <c r="F1030" s="2">
        <v>293</v>
      </c>
    </row>
    <row r="1031" spans="1:6" x14ac:dyDescent="0.2">
      <c r="A1031" s="6" t="s">
        <v>276</v>
      </c>
      <c r="B1031" s="4">
        <v>272</v>
      </c>
      <c r="C1031" s="2" t="s">
        <v>2308</v>
      </c>
      <c r="D1031" s="2" t="s">
        <v>5</v>
      </c>
      <c r="E1031" s="5" t="s">
        <v>410</v>
      </c>
      <c r="F1031" s="2">
        <v>183</v>
      </c>
    </row>
    <row r="1032" spans="1:6" x14ac:dyDescent="0.2">
      <c r="A1032" s="6" t="s">
        <v>78</v>
      </c>
      <c r="B1032" s="4">
        <v>73</v>
      </c>
      <c r="C1032" s="2" t="s">
        <v>2309</v>
      </c>
      <c r="D1032" s="2" t="s">
        <v>4</v>
      </c>
      <c r="E1032" s="5" t="s">
        <v>411</v>
      </c>
      <c r="F1032" s="2">
        <v>129</v>
      </c>
    </row>
    <row r="1033" spans="1:6" x14ac:dyDescent="0.2">
      <c r="A1033" s="6" t="s">
        <v>240</v>
      </c>
      <c r="B1033" s="4">
        <v>236</v>
      </c>
      <c r="C1033" s="2" t="s">
        <v>2308</v>
      </c>
      <c r="D1033" s="2" t="s">
        <v>3</v>
      </c>
      <c r="E1033" s="7" t="s">
        <v>409</v>
      </c>
      <c r="F1033" s="2">
        <v>292</v>
      </c>
    </row>
    <row r="1034" spans="1:6" x14ac:dyDescent="0.2">
      <c r="A1034" s="6" t="s">
        <v>129</v>
      </c>
      <c r="B1034" s="4">
        <v>124</v>
      </c>
      <c r="C1034" s="2" t="s">
        <v>2310</v>
      </c>
      <c r="D1034" s="2" t="s">
        <v>3</v>
      </c>
      <c r="E1034" s="7" t="s">
        <v>411</v>
      </c>
      <c r="F1034" s="2">
        <v>199</v>
      </c>
    </row>
    <row r="1035" spans="1:6" x14ac:dyDescent="0.2">
      <c r="A1035" s="6" t="s">
        <v>378</v>
      </c>
      <c r="B1035" s="4">
        <v>374</v>
      </c>
      <c r="C1035" s="2" t="s">
        <v>2307</v>
      </c>
      <c r="D1035" s="2" t="s">
        <v>4</v>
      </c>
      <c r="E1035" s="5" t="s">
        <v>408</v>
      </c>
      <c r="F1035" s="2">
        <v>199</v>
      </c>
    </row>
    <row r="1036" spans="1:6" x14ac:dyDescent="0.2">
      <c r="A1036" s="6" t="s">
        <v>343</v>
      </c>
      <c r="B1036" s="4">
        <v>339</v>
      </c>
      <c r="C1036" s="2" t="s">
        <v>2307</v>
      </c>
      <c r="D1036" s="2" t="s">
        <v>3</v>
      </c>
      <c r="E1036" s="5" t="s">
        <v>408</v>
      </c>
      <c r="F1036" s="2">
        <v>251</v>
      </c>
    </row>
    <row r="1037" spans="1:6" x14ac:dyDescent="0.2">
      <c r="A1037" s="6" t="s">
        <v>187</v>
      </c>
      <c r="B1037" s="4">
        <v>182</v>
      </c>
      <c r="C1037" s="2" t="s">
        <v>2310</v>
      </c>
      <c r="D1037" s="2" t="s">
        <v>5</v>
      </c>
      <c r="E1037" s="6" t="s">
        <v>408</v>
      </c>
      <c r="F1037" s="2">
        <v>144</v>
      </c>
    </row>
    <row r="1038" spans="1:6" x14ac:dyDescent="0.2">
      <c r="A1038" s="6" t="s">
        <v>71</v>
      </c>
      <c r="B1038" s="4">
        <v>66</v>
      </c>
      <c r="C1038" s="2" t="s">
        <v>2309</v>
      </c>
      <c r="D1038" s="2" t="s">
        <v>4</v>
      </c>
      <c r="E1038" s="5" t="s">
        <v>412</v>
      </c>
      <c r="F1038" s="2">
        <v>272</v>
      </c>
    </row>
    <row r="1039" spans="1:6" x14ac:dyDescent="0.2">
      <c r="A1039" s="6" t="s">
        <v>277</v>
      </c>
      <c r="B1039" s="4">
        <v>273</v>
      </c>
      <c r="C1039" s="2" t="s">
        <v>2308</v>
      </c>
      <c r="D1039" s="2" t="s">
        <v>5</v>
      </c>
      <c r="E1039" s="5" t="s">
        <v>410</v>
      </c>
      <c r="F1039" s="2">
        <v>153</v>
      </c>
    </row>
    <row r="1040" spans="1:6" x14ac:dyDescent="0.2">
      <c r="A1040" s="6" t="s">
        <v>185</v>
      </c>
      <c r="B1040" s="4">
        <v>180</v>
      </c>
      <c r="C1040" s="2" t="s">
        <v>2310</v>
      </c>
      <c r="D1040" s="2" t="s">
        <v>5</v>
      </c>
      <c r="E1040" s="5" t="s">
        <v>411</v>
      </c>
      <c r="F1040" s="2">
        <v>172</v>
      </c>
    </row>
    <row r="1041" spans="1:6" x14ac:dyDescent="0.2">
      <c r="A1041" s="6" t="s">
        <v>83</v>
      </c>
      <c r="B1041" s="4">
        <v>78</v>
      </c>
      <c r="C1041" s="2" t="s">
        <v>2309</v>
      </c>
      <c r="D1041" s="2" t="s">
        <v>5</v>
      </c>
      <c r="E1041" s="5" t="s">
        <v>411</v>
      </c>
      <c r="F1041" s="2">
        <v>153</v>
      </c>
    </row>
    <row r="1042" spans="1:6" x14ac:dyDescent="0.2">
      <c r="A1042" s="6" t="s">
        <v>368</v>
      </c>
      <c r="B1042" s="4">
        <v>364</v>
      </c>
      <c r="C1042" s="2" t="s">
        <v>2307</v>
      </c>
      <c r="D1042" s="2" t="s">
        <v>4</v>
      </c>
      <c r="E1042" s="5" t="s">
        <v>410</v>
      </c>
      <c r="F1042" s="2">
        <v>124</v>
      </c>
    </row>
    <row r="1043" spans="1:6" x14ac:dyDescent="0.2">
      <c r="A1043" s="6" t="s">
        <v>204</v>
      </c>
      <c r="B1043" s="4">
        <v>200</v>
      </c>
      <c r="C1043" s="2" t="s">
        <v>2308</v>
      </c>
      <c r="D1043" s="2" t="s">
        <v>2</v>
      </c>
      <c r="E1043" s="5" t="s">
        <v>412</v>
      </c>
      <c r="F1043" s="2">
        <v>230</v>
      </c>
    </row>
    <row r="1044" spans="1:6" x14ac:dyDescent="0.2">
      <c r="A1044" s="6" t="s">
        <v>256</v>
      </c>
      <c r="B1044" s="4">
        <v>252</v>
      </c>
      <c r="C1044" s="2" t="s">
        <v>2308</v>
      </c>
      <c r="D1044" s="2" t="s">
        <v>4</v>
      </c>
      <c r="E1044" s="6" t="s">
        <v>408</v>
      </c>
      <c r="F1044" s="2">
        <v>172</v>
      </c>
    </row>
    <row r="1045" spans="1:6" x14ac:dyDescent="0.2">
      <c r="A1045" s="6" t="s">
        <v>201</v>
      </c>
      <c r="B1045" s="4">
        <v>197</v>
      </c>
      <c r="C1045" s="2" t="s">
        <v>2308</v>
      </c>
      <c r="D1045" s="2" t="s">
        <v>2</v>
      </c>
      <c r="E1045" s="5" t="s">
        <v>409</v>
      </c>
      <c r="F1045" s="2">
        <v>219</v>
      </c>
    </row>
    <row r="1046" spans="1:6" x14ac:dyDescent="0.2">
      <c r="A1046" s="6" t="s">
        <v>136</v>
      </c>
      <c r="B1046" s="4">
        <v>131</v>
      </c>
      <c r="C1046" s="2" t="s">
        <v>2310</v>
      </c>
      <c r="D1046" s="2" t="s">
        <v>3</v>
      </c>
      <c r="E1046" s="7" t="s">
        <v>410</v>
      </c>
      <c r="F1046" s="2">
        <v>158</v>
      </c>
    </row>
    <row r="1047" spans="1:6" x14ac:dyDescent="0.2">
      <c r="A1047" s="6" t="s">
        <v>78</v>
      </c>
      <c r="B1047" s="4">
        <v>73</v>
      </c>
      <c r="C1047" s="2" t="s">
        <v>2309</v>
      </c>
      <c r="D1047" s="2" t="s">
        <v>4</v>
      </c>
      <c r="E1047" s="5" t="s">
        <v>409</v>
      </c>
      <c r="F1047" s="2">
        <v>161</v>
      </c>
    </row>
    <row r="1048" spans="1:6" x14ac:dyDescent="0.2">
      <c r="A1048" s="6" t="s">
        <v>233</v>
      </c>
      <c r="B1048" s="4">
        <v>229</v>
      </c>
      <c r="C1048" s="2" t="s">
        <v>2308</v>
      </c>
      <c r="D1048" s="2" t="s">
        <v>3</v>
      </c>
      <c r="E1048" s="7" t="s">
        <v>409</v>
      </c>
      <c r="F1048" s="2">
        <v>149</v>
      </c>
    </row>
    <row r="1049" spans="1:6" x14ac:dyDescent="0.2">
      <c r="A1049" s="6" t="s">
        <v>67</v>
      </c>
      <c r="B1049" s="4">
        <v>62</v>
      </c>
      <c r="C1049" s="2" t="s">
        <v>2309</v>
      </c>
      <c r="D1049" s="2" t="s">
        <v>4</v>
      </c>
      <c r="E1049" s="5" t="s">
        <v>410</v>
      </c>
      <c r="F1049" s="2">
        <v>280</v>
      </c>
    </row>
    <row r="1050" spans="1:6" x14ac:dyDescent="0.2">
      <c r="A1050" s="6" t="s">
        <v>390</v>
      </c>
      <c r="B1050" s="4">
        <v>386</v>
      </c>
      <c r="C1050" s="2" t="s">
        <v>2307</v>
      </c>
      <c r="D1050" s="2" t="s">
        <v>5</v>
      </c>
      <c r="E1050" s="5" t="s">
        <v>412</v>
      </c>
      <c r="F1050" s="2">
        <v>254</v>
      </c>
    </row>
    <row r="1051" spans="1:6" x14ac:dyDescent="0.2">
      <c r="A1051" s="6" t="s">
        <v>210</v>
      </c>
      <c r="B1051" s="4">
        <v>206</v>
      </c>
      <c r="C1051" s="2" t="s">
        <v>2308</v>
      </c>
      <c r="D1051" s="2" t="s">
        <v>2</v>
      </c>
      <c r="E1051" s="5" t="s">
        <v>409</v>
      </c>
      <c r="F1051" s="2">
        <v>230</v>
      </c>
    </row>
    <row r="1052" spans="1:6" x14ac:dyDescent="0.2">
      <c r="A1052" s="6" t="s">
        <v>37</v>
      </c>
      <c r="B1052" s="4">
        <v>32</v>
      </c>
      <c r="C1052" s="2" t="s">
        <v>2309</v>
      </c>
      <c r="D1052" s="2" t="s">
        <v>3</v>
      </c>
      <c r="E1052" s="5" t="s">
        <v>408</v>
      </c>
      <c r="F1052" s="2">
        <v>223</v>
      </c>
    </row>
    <row r="1053" spans="1:6" x14ac:dyDescent="0.2">
      <c r="A1053" s="6" t="s">
        <v>372</v>
      </c>
      <c r="B1053" s="4">
        <v>368</v>
      </c>
      <c r="C1053" s="2" t="s">
        <v>2307</v>
      </c>
      <c r="D1053" s="2" t="s">
        <v>4</v>
      </c>
      <c r="E1053" s="5" t="s">
        <v>410</v>
      </c>
      <c r="F1053" s="2">
        <v>226</v>
      </c>
    </row>
    <row r="1054" spans="1:6" x14ac:dyDescent="0.2">
      <c r="A1054" s="6" t="s">
        <v>91</v>
      </c>
      <c r="B1054" s="4">
        <v>86</v>
      </c>
      <c r="C1054" s="2" t="s">
        <v>2309</v>
      </c>
      <c r="D1054" s="2" t="s">
        <v>5</v>
      </c>
      <c r="E1054" s="5" t="s">
        <v>411</v>
      </c>
      <c r="F1054" s="2">
        <v>258</v>
      </c>
    </row>
    <row r="1055" spans="1:6" x14ac:dyDescent="0.2">
      <c r="A1055" s="6" t="s">
        <v>334</v>
      </c>
      <c r="B1055" s="4">
        <v>330</v>
      </c>
      <c r="C1055" s="2" t="s">
        <v>2307</v>
      </c>
      <c r="D1055" s="2" t="s">
        <v>3</v>
      </c>
      <c r="E1055" s="5" t="s">
        <v>412</v>
      </c>
      <c r="F1055" s="2">
        <v>152</v>
      </c>
    </row>
    <row r="1056" spans="1:6" x14ac:dyDescent="0.2">
      <c r="A1056" s="6" t="s">
        <v>57</v>
      </c>
      <c r="B1056" s="4">
        <v>52</v>
      </c>
      <c r="C1056" s="2" t="s">
        <v>2309</v>
      </c>
      <c r="D1056" s="2" t="s">
        <v>4</v>
      </c>
      <c r="E1056" s="5" t="s">
        <v>411</v>
      </c>
      <c r="F1056" s="2">
        <v>270</v>
      </c>
    </row>
    <row r="1057" spans="1:6" x14ac:dyDescent="0.2">
      <c r="A1057" s="6" t="s">
        <v>280</v>
      </c>
      <c r="B1057" s="4">
        <v>276</v>
      </c>
      <c r="C1057" s="2" t="s">
        <v>2308</v>
      </c>
      <c r="D1057" s="2" t="s">
        <v>5</v>
      </c>
      <c r="E1057" s="5" t="s">
        <v>410</v>
      </c>
      <c r="F1057" s="2">
        <v>214</v>
      </c>
    </row>
    <row r="1058" spans="1:6" x14ac:dyDescent="0.2">
      <c r="A1058" s="6" t="s">
        <v>163</v>
      </c>
      <c r="B1058" s="4">
        <v>158</v>
      </c>
      <c r="C1058" s="2" t="s">
        <v>2310</v>
      </c>
      <c r="D1058" s="2" t="s">
        <v>4</v>
      </c>
      <c r="E1058" s="6" t="s">
        <v>408</v>
      </c>
      <c r="F1058" s="2">
        <v>276</v>
      </c>
    </row>
    <row r="1059" spans="1:6" x14ac:dyDescent="0.2">
      <c r="A1059" s="6" t="s">
        <v>51</v>
      </c>
      <c r="B1059" s="4">
        <v>46</v>
      </c>
      <c r="C1059" s="2" t="s">
        <v>2309</v>
      </c>
      <c r="D1059" s="2" t="s">
        <v>3</v>
      </c>
      <c r="E1059" s="5" t="s">
        <v>409</v>
      </c>
      <c r="F1059" s="2">
        <v>298</v>
      </c>
    </row>
    <row r="1060" spans="1:6" x14ac:dyDescent="0.2">
      <c r="A1060" s="6" t="s">
        <v>331</v>
      </c>
      <c r="B1060" s="4">
        <v>327</v>
      </c>
      <c r="C1060" s="2" t="s">
        <v>2307</v>
      </c>
      <c r="D1060" s="2" t="s">
        <v>3</v>
      </c>
      <c r="E1060" s="5" t="s">
        <v>412</v>
      </c>
      <c r="F1060" s="2">
        <v>187</v>
      </c>
    </row>
    <row r="1061" spans="1:6" x14ac:dyDescent="0.2">
      <c r="A1061" s="6" t="s">
        <v>362</v>
      </c>
      <c r="B1061" s="4">
        <v>358</v>
      </c>
      <c r="C1061" s="2" t="s">
        <v>2307</v>
      </c>
      <c r="D1061" s="2" t="s">
        <v>4</v>
      </c>
      <c r="E1061" s="5" t="s">
        <v>410</v>
      </c>
      <c r="F1061" s="2">
        <v>145</v>
      </c>
    </row>
    <row r="1062" spans="1:6" x14ac:dyDescent="0.2">
      <c r="A1062" s="6" t="s">
        <v>92</v>
      </c>
      <c r="B1062" s="4">
        <v>87</v>
      </c>
      <c r="C1062" s="2" t="s">
        <v>2309</v>
      </c>
      <c r="D1062" s="2" t="s">
        <v>5</v>
      </c>
      <c r="E1062" s="5" t="s">
        <v>409</v>
      </c>
      <c r="F1062" s="2">
        <v>265</v>
      </c>
    </row>
    <row r="1063" spans="1:6" x14ac:dyDescent="0.2">
      <c r="A1063" s="6" t="s">
        <v>373</v>
      </c>
      <c r="B1063" s="4">
        <v>369</v>
      </c>
      <c r="C1063" s="2" t="s">
        <v>2307</v>
      </c>
      <c r="D1063" s="2" t="s">
        <v>4</v>
      </c>
      <c r="E1063" s="5" t="s">
        <v>412</v>
      </c>
      <c r="F1063" s="2">
        <v>252</v>
      </c>
    </row>
    <row r="1064" spans="1:6" x14ac:dyDescent="0.2">
      <c r="A1064" s="6" t="s">
        <v>150</v>
      </c>
      <c r="B1064" s="4">
        <v>145</v>
      </c>
      <c r="C1064" s="2" t="s">
        <v>2310</v>
      </c>
      <c r="D1064" s="2" t="s">
        <v>4</v>
      </c>
      <c r="E1064" s="5" t="s">
        <v>411</v>
      </c>
      <c r="F1064" s="2">
        <v>232</v>
      </c>
    </row>
    <row r="1065" spans="1:6" x14ac:dyDescent="0.2">
      <c r="A1065" s="6" t="s">
        <v>14</v>
      </c>
      <c r="B1065" s="4">
        <v>9</v>
      </c>
      <c r="C1065" s="2" t="s">
        <v>2309</v>
      </c>
      <c r="D1065" s="2" t="s">
        <v>2</v>
      </c>
      <c r="E1065" s="5" t="s">
        <v>411</v>
      </c>
      <c r="F1065" s="2">
        <v>127</v>
      </c>
    </row>
    <row r="1066" spans="1:6" x14ac:dyDescent="0.2">
      <c r="A1066" s="6" t="s">
        <v>77</v>
      </c>
      <c r="B1066" s="4">
        <v>72</v>
      </c>
      <c r="C1066" s="2" t="s">
        <v>2309</v>
      </c>
      <c r="D1066" s="2" t="s">
        <v>4</v>
      </c>
      <c r="E1066" s="5" t="s">
        <v>410</v>
      </c>
      <c r="F1066" s="2">
        <v>230</v>
      </c>
    </row>
    <row r="1067" spans="1:6" x14ac:dyDescent="0.2">
      <c r="A1067" s="6" t="s">
        <v>270</v>
      </c>
      <c r="B1067" s="4">
        <v>266</v>
      </c>
      <c r="C1067" s="2" t="s">
        <v>2308</v>
      </c>
      <c r="D1067" s="2" t="s">
        <v>4</v>
      </c>
      <c r="E1067" s="6" t="s">
        <v>408</v>
      </c>
      <c r="F1067" s="2">
        <v>155</v>
      </c>
    </row>
    <row r="1068" spans="1:6" x14ac:dyDescent="0.2">
      <c r="A1068" s="6" t="s">
        <v>324</v>
      </c>
      <c r="B1068" s="4">
        <v>320</v>
      </c>
      <c r="C1068" s="2" t="s">
        <v>2307</v>
      </c>
      <c r="D1068" s="2" t="s">
        <v>2</v>
      </c>
      <c r="E1068" s="5" t="s">
        <v>408</v>
      </c>
      <c r="F1068" s="2">
        <v>241</v>
      </c>
    </row>
    <row r="1069" spans="1:6" x14ac:dyDescent="0.2">
      <c r="A1069" s="6" t="s">
        <v>138</v>
      </c>
      <c r="B1069" s="4">
        <v>133</v>
      </c>
      <c r="C1069" s="2" t="s">
        <v>2310</v>
      </c>
      <c r="D1069" s="2" t="s">
        <v>3</v>
      </c>
      <c r="E1069" s="6" t="s">
        <v>408</v>
      </c>
      <c r="F1069" s="2">
        <v>122</v>
      </c>
    </row>
    <row r="1070" spans="1:6" x14ac:dyDescent="0.2">
      <c r="A1070" s="6" t="s">
        <v>287</v>
      </c>
      <c r="B1070" s="4">
        <v>283</v>
      </c>
      <c r="C1070" s="2" t="s">
        <v>2308</v>
      </c>
      <c r="D1070" s="2" t="s">
        <v>5</v>
      </c>
      <c r="E1070" s="6" t="s">
        <v>408</v>
      </c>
      <c r="F1070" s="2">
        <v>157</v>
      </c>
    </row>
    <row r="1071" spans="1:6" x14ac:dyDescent="0.2">
      <c r="A1071" s="6" t="s">
        <v>75</v>
      </c>
      <c r="B1071" s="4">
        <v>70</v>
      </c>
      <c r="C1071" s="2" t="s">
        <v>2309</v>
      </c>
      <c r="D1071" s="2" t="s">
        <v>4</v>
      </c>
      <c r="E1071" s="5" t="s">
        <v>410</v>
      </c>
      <c r="F1071" s="2">
        <v>252</v>
      </c>
    </row>
    <row r="1072" spans="1:6" x14ac:dyDescent="0.2">
      <c r="A1072" s="6" t="s">
        <v>17</v>
      </c>
      <c r="B1072" s="4">
        <v>12</v>
      </c>
      <c r="C1072" s="2" t="s">
        <v>2309</v>
      </c>
      <c r="D1072" s="2" t="s">
        <v>2</v>
      </c>
      <c r="E1072" s="5" t="s">
        <v>409</v>
      </c>
      <c r="F1072" s="2">
        <v>188</v>
      </c>
    </row>
    <row r="1073" spans="1:6" x14ac:dyDescent="0.2">
      <c r="A1073" s="6" t="s">
        <v>42</v>
      </c>
      <c r="B1073" s="4">
        <v>37</v>
      </c>
      <c r="C1073" s="2" t="s">
        <v>2309</v>
      </c>
      <c r="D1073" s="2" t="s">
        <v>3</v>
      </c>
      <c r="E1073" s="5" t="s">
        <v>411</v>
      </c>
      <c r="F1073" s="2">
        <v>141</v>
      </c>
    </row>
    <row r="1074" spans="1:6" x14ac:dyDescent="0.2">
      <c r="A1074" s="6" t="s">
        <v>18</v>
      </c>
      <c r="B1074" s="4">
        <v>13</v>
      </c>
      <c r="C1074" s="2" t="s">
        <v>2309</v>
      </c>
      <c r="D1074" s="2" t="s">
        <v>2</v>
      </c>
      <c r="E1074" s="5" t="s">
        <v>410</v>
      </c>
      <c r="F1074" s="2">
        <v>237</v>
      </c>
    </row>
    <row r="1075" spans="1:6" x14ac:dyDescent="0.2">
      <c r="A1075" s="6" t="s">
        <v>126</v>
      </c>
      <c r="B1075" s="4">
        <v>121</v>
      </c>
      <c r="C1075" s="2" t="s">
        <v>2310</v>
      </c>
      <c r="D1075" s="2" t="s">
        <v>3</v>
      </c>
      <c r="E1075" s="5" t="s">
        <v>412</v>
      </c>
      <c r="F1075" s="2">
        <v>224</v>
      </c>
    </row>
    <row r="1076" spans="1:6" x14ac:dyDescent="0.2">
      <c r="A1076" s="6" t="s">
        <v>54</v>
      </c>
      <c r="B1076" s="4">
        <v>49</v>
      </c>
      <c r="C1076" s="2" t="s">
        <v>2309</v>
      </c>
      <c r="D1076" s="2" t="s">
        <v>3</v>
      </c>
      <c r="E1076" s="5" t="s">
        <v>408</v>
      </c>
      <c r="F1076" s="2">
        <v>173</v>
      </c>
    </row>
    <row r="1077" spans="1:6" x14ac:dyDescent="0.2">
      <c r="A1077" s="6" t="s">
        <v>149</v>
      </c>
      <c r="B1077" s="4">
        <v>144</v>
      </c>
      <c r="C1077" s="2" t="s">
        <v>2310</v>
      </c>
      <c r="D1077" s="2" t="s">
        <v>4</v>
      </c>
      <c r="E1077" s="6" t="s">
        <v>408</v>
      </c>
      <c r="F1077" s="2">
        <v>248</v>
      </c>
    </row>
    <row r="1078" spans="1:6" x14ac:dyDescent="0.2">
      <c r="A1078" s="6" t="s">
        <v>90</v>
      </c>
      <c r="B1078" s="4">
        <v>85</v>
      </c>
      <c r="C1078" s="2" t="s">
        <v>2309</v>
      </c>
      <c r="D1078" s="2" t="s">
        <v>5</v>
      </c>
      <c r="E1078" s="5" t="s">
        <v>411</v>
      </c>
      <c r="F1078" s="2">
        <v>272</v>
      </c>
    </row>
    <row r="1079" spans="1:6" x14ac:dyDescent="0.2">
      <c r="A1079" s="6" t="s">
        <v>262</v>
      </c>
      <c r="B1079" s="4">
        <v>258</v>
      </c>
      <c r="C1079" s="2" t="s">
        <v>2308</v>
      </c>
      <c r="D1079" s="2" t="s">
        <v>4</v>
      </c>
      <c r="E1079" s="6" t="s">
        <v>408</v>
      </c>
      <c r="F1079" s="2">
        <v>266</v>
      </c>
    </row>
    <row r="1080" spans="1:6" x14ac:dyDescent="0.2">
      <c r="A1080" s="6" t="s">
        <v>395</v>
      </c>
      <c r="B1080" s="4">
        <v>391</v>
      </c>
      <c r="C1080" s="2" t="s">
        <v>2307</v>
      </c>
      <c r="D1080" s="2" t="s">
        <v>5</v>
      </c>
      <c r="E1080" s="5" t="s">
        <v>410</v>
      </c>
      <c r="F1080" s="2">
        <v>123</v>
      </c>
    </row>
    <row r="1081" spans="1:6" x14ac:dyDescent="0.2">
      <c r="A1081" s="6" t="s">
        <v>108</v>
      </c>
      <c r="B1081" s="4">
        <v>103</v>
      </c>
      <c r="C1081" s="2" t="s">
        <v>2310</v>
      </c>
      <c r="D1081" s="2" t="s">
        <v>2</v>
      </c>
      <c r="E1081" s="5" t="s">
        <v>411</v>
      </c>
      <c r="F1081" s="2">
        <v>189</v>
      </c>
    </row>
    <row r="1082" spans="1:6" x14ac:dyDescent="0.2">
      <c r="A1082" s="6" t="s">
        <v>163</v>
      </c>
      <c r="B1082" s="4">
        <v>158</v>
      </c>
      <c r="C1082" s="2" t="s">
        <v>2310</v>
      </c>
      <c r="D1082" s="2" t="s">
        <v>4</v>
      </c>
      <c r="E1082" s="5" t="s">
        <v>412</v>
      </c>
      <c r="F1082" s="2">
        <v>205</v>
      </c>
    </row>
    <row r="1083" spans="1:6" x14ac:dyDescent="0.2">
      <c r="A1083" s="6" t="s">
        <v>214</v>
      </c>
      <c r="B1083" s="4">
        <v>210</v>
      </c>
      <c r="C1083" s="2" t="s">
        <v>2308</v>
      </c>
      <c r="D1083" s="2" t="s">
        <v>2</v>
      </c>
      <c r="E1083" s="5" t="s">
        <v>410</v>
      </c>
      <c r="F1083" s="2">
        <v>174</v>
      </c>
    </row>
    <row r="1084" spans="1:6" x14ac:dyDescent="0.2">
      <c r="A1084" s="6" t="s">
        <v>211</v>
      </c>
      <c r="B1084" s="4">
        <v>207</v>
      </c>
      <c r="C1084" s="2" t="s">
        <v>2308</v>
      </c>
      <c r="D1084" s="2" t="s">
        <v>2</v>
      </c>
      <c r="E1084" s="5" t="s">
        <v>412</v>
      </c>
      <c r="F1084" s="2">
        <v>174</v>
      </c>
    </row>
    <row r="1085" spans="1:6" x14ac:dyDescent="0.2">
      <c r="A1085" s="6" t="s">
        <v>134</v>
      </c>
      <c r="B1085" s="4">
        <v>129</v>
      </c>
      <c r="C1085" s="2" t="s">
        <v>2310</v>
      </c>
      <c r="D1085" s="2" t="s">
        <v>3</v>
      </c>
      <c r="E1085" s="7" t="s">
        <v>411</v>
      </c>
      <c r="F1085" s="2">
        <v>262</v>
      </c>
    </row>
    <row r="1086" spans="1:6" x14ac:dyDescent="0.2">
      <c r="A1086" s="6" t="s">
        <v>144</v>
      </c>
      <c r="B1086" s="4">
        <v>139</v>
      </c>
      <c r="C1086" s="2" t="s">
        <v>2310</v>
      </c>
      <c r="D1086" s="2" t="s">
        <v>3</v>
      </c>
      <c r="E1086" s="7" t="s">
        <v>410</v>
      </c>
      <c r="F1086" s="2">
        <v>221</v>
      </c>
    </row>
    <row r="1087" spans="1:6" x14ac:dyDescent="0.2">
      <c r="A1087" s="6" t="s">
        <v>6</v>
      </c>
      <c r="B1087" s="4">
        <v>1</v>
      </c>
      <c r="C1087" s="2" t="s">
        <v>2309</v>
      </c>
      <c r="D1087" s="2" t="s">
        <v>2</v>
      </c>
      <c r="E1087" s="5" t="s">
        <v>410</v>
      </c>
      <c r="F1087" s="2">
        <v>120</v>
      </c>
    </row>
    <row r="1088" spans="1:6" x14ac:dyDescent="0.2">
      <c r="A1088" s="6" t="s">
        <v>148</v>
      </c>
      <c r="B1088" s="4">
        <v>143</v>
      </c>
      <c r="C1088" s="2" t="s">
        <v>2310</v>
      </c>
      <c r="D1088" s="2" t="s">
        <v>4</v>
      </c>
      <c r="E1088" s="5" t="s">
        <v>412</v>
      </c>
      <c r="F1088" s="2">
        <v>209</v>
      </c>
    </row>
    <row r="1089" spans="1:6" x14ac:dyDescent="0.2">
      <c r="A1089" s="6" t="s">
        <v>81</v>
      </c>
      <c r="B1089" s="4">
        <v>76</v>
      </c>
      <c r="C1089" s="2" t="s">
        <v>2309</v>
      </c>
      <c r="D1089" s="2" t="s">
        <v>5</v>
      </c>
      <c r="E1089" s="5" t="s">
        <v>409</v>
      </c>
      <c r="F1089" s="2">
        <v>212</v>
      </c>
    </row>
    <row r="1090" spans="1:6" x14ac:dyDescent="0.2">
      <c r="A1090" s="6" t="s">
        <v>70</v>
      </c>
      <c r="B1090" s="4">
        <v>65</v>
      </c>
      <c r="C1090" s="2" t="s">
        <v>2309</v>
      </c>
      <c r="D1090" s="2" t="s">
        <v>4</v>
      </c>
      <c r="E1090" s="5" t="s">
        <v>411</v>
      </c>
      <c r="F1090" s="2">
        <v>157</v>
      </c>
    </row>
    <row r="1091" spans="1:6" x14ac:dyDescent="0.2">
      <c r="A1091" s="6" t="s">
        <v>102</v>
      </c>
      <c r="B1091" s="4">
        <v>97</v>
      </c>
      <c r="C1091" s="2" t="s">
        <v>2309</v>
      </c>
      <c r="D1091" s="2" t="s">
        <v>5</v>
      </c>
      <c r="E1091" s="5" t="s">
        <v>408</v>
      </c>
      <c r="F1091" s="2">
        <v>289</v>
      </c>
    </row>
    <row r="1092" spans="1:6" x14ac:dyDescent="0.2">
      <c r="A1092" s="6" t="s">
        <v>407</v>
      </c>
      <c r="B1092" s="4">
        <v>403</v>
      </c>
      <c r="C1092" s="2" t="s">
        <v>2307</v>
      </c>
      <c r="D1092" s="2" t="s">
        <v>5</v>
      </c>
      <c r="E1092" s="5" t="s">
        <v>409</v>
      </c>
      <c r="F1092" s="2">
        <v>195</v>
      </c>
    </row>
    <row r="1093" spans="1:6" x14ac:dyDescent="0.2">
      <c r="A1093" s="6" t="s">
        <v>263</v>
      </c>
      <c r="B1093" s="4">
        <v>259</v>
      </c>
      <c r="C1093" s="2" t="s">
        <v>2308</v>
      </c>
      <c r="D1093" s="2" t="s">
        <v>4</v>
      </c>
      <c r="E1093" s="5" t="s">
        <v>410</v>
      </c>
      <c r="F1093" s="2">
        <v>192</v>
      </c>
    </row>
    <row r="1094" spans="1:6" x14ac:dyDescent="0.2">
      <c r="A1094" s="6" t="s">
        <v>244</v>
      </c>
      <c r="B1094" s="4">
        <v>240</v>
      </c>
      <c r="C1094" s="2" t="s">
        <v>2308</v>
      </c>
      <c r="D1094" s="2" t="s">
        <v>3</v>
      </c>
      <c r="E1094" s="7" t="s">
        <v>411</v>
      </c>
      <c r="F1094" s="2">
        <v>223</v>
      </c>
    </row>
    <row r="1095" spans="1:6" x14ac:dyDescent="0.2">
      <c r="A1095" s="6" t="s">
        <v>85</v>
      </c>
      <c r="B1095" s="4">
        <v>80</v>
      </c>
      <c r="C1095" s="2" t="s">
        <v>2309</v>
      </c>
      <c r="D1095" s="2" t="s">
        <v>5</v>
      </c>
      <c r="E1095" s="5" t="s">
        <v>411</v>
      </c>
      <c r="F1095" s="2">
        <v>121</v>
      </c>
    </row>
    <row r="1096" spans="1:6" x14ac:dyDescent="0.2">
      <c r="A1096" s="6" t="s">
        <v>15</v>
      </c>
      <c r="B1096" s="4">
        <v>10</v>
      </c>
      <c r="C1096" s="2" t="s">
        <v>2309</v>
      </c>
      <c r="D1096" s="2" t="s">
        <v>2</v>
      </c>
      <c r="E1096" s="5" t="s">
        <v>408</v>
      </c>
      <c r="F1096" s="2">
        <v>157</v>
      </c>
    </row>
    <row r="1097" spans="1:6" x14ac:dyDescent="0.2">
      <c r="A1097" s="6" t="s">
        <v>33</v>
      </c>
      <c r="B1097" s="4">
        <v>28</v>
      </c>
      <c r="C1097" s="2" t="s">
        <v>2309</v>
      </c>
      <c r="D1097" s="2" t="s">
        <v>2</v>
      </c>
      <c r="E1097" s="5" t="s">
        <v>410</v>
      </c>
      <c r="F1097" s="2">
        <v>253</v>
      </c>
    </row>
    <row r="1098" spans="1:6" x14ac:dyDescent="0.2">
      <c r="A1098" s="6" t="s">
        <v>247</v>
      </c>
      <c r="B1098" s="4">
        <v>243</v>
      </c>
      <c r="C1098" s="2" t="s">
        <v>2308</v>
      </c>
      <c r="D1098" s="2" t="s">
        <v>4</v>
      </c>
      <c r="E1098" s="5" t="s">
        <v>411</v>
      </c>
      <c r="F1098" s="2">
        <v>137</v>
      </c>
    </row>
    <row r="1099" spans="1:6" x14ac:dyDescent="0.2">
      <c r="A1099" s="6" t="s">
        <v>247</v>
      </c>
      <c r="B1099" s="4">
        <v>243</v>
      </c>
      <c r="C1099" s="2" t="s">
        <v>2308</v>
      </c>
      <c r="D1099" s="2" t="s">
        <v>4</v>
      </c>
      <c r="E1099" s="7" t="s">
        <v>409</v>
      </c>
      <c r="F1099" s="2">
        <v>151</v>
      </c>
    </row>
    <row r="1100" spans="1:6" x14ac:dyDescent="0.2">
      <c r="A1100" s="6" t="s">
        <v>399</v>
      </c>
      <c r="B1100" s="4">
        <v>395</v>
      </c>
      <c r="C1100" s="2" t="s">
        <v>2307</v>
      </c>
      <c r="D1100" s="2" t="s">
        <v>5</v>
      </c>
      <c r="E1100" s="5" t="s">
        <v>409</v>
      </c>
      <c r="F1100" s="2">
        <v>253</v>
      </c>
    </row>
    <row r="1101" spans="1:6" x14ac:dyDescent="0.2">
      <c r="A1101" s="6" t="s">
        <v>273</v>
      </c>
      <c r="B1101" s="4">
        <v>269</v>
      </c>
      <c r="C1101" s="2" t="s">
        <v>2308</v>
      </c>
      <c r="D1101" s="2" t="s">
        <v>4</v>
      </c>
      <c r="E1101" s="5" t="s">
        <v>411</v>
      </c>
      <c r="F1101" s="2">
        <v>120</v>
      </c>
    </row>
    <row r="1102" spans="1:6" x14ac:dyDescent="0.2">
      <c r="A1102" s="6" t="s">
        <v>341</v>
      </c>
      <c r="B1102" s="4">
        <v>337</v>
      </c>
      <c r="C1102" s="2" t="s">
        <v>2307</v>
      </c>
      <c r="D1102" s="2" t="s">
        <v>3</v>
      </c>
      <c r="E1102" s="5" t="s">
        <v>411</v>
      </c>
      <c r="F1102" s="2">
        <v>226</v>
      </c>
    </row>
    <row r="1103" spans="1:6" x14ac:dyDescent="0.2">
      <c r="A1103" s="6" t="s">
        <v>305</v>
      </c>
      <c r="B1103" s="4">
        <v>301</v>
      </c>
      <c r="C1103" s="2" t="s">
        <v>2307</v>
      </c>
      <c r="D1103" s="2" t="s">
        <v>2</v>
      </c>
      <c r="E1103" s="5" t="s">
        <v>410</v>
      </c>
      <c r="F1103" s="2">
        <v>291</v>
      </c>
    </row>
    <row r="1104" spans="1:6" x14ac:dyDescent="0.2">
      <c r="A1104" s="6" t="s">
        <v>159</v>
      </c>
      <c r="B1104" s="4">
        <v>154</v>
      </c>
      <c r="C1104" s="2" t="s">
        <v>2310</v>
      </c>
      <c r="D1104" s="2" t="s">
        <v>4</v>
      </c>
      <c r="E1104" s="5" t="s">
        <v>412</v>
      </c>
      <c r="F1104" s="2">
        <v>152</v>
      </c>
    </row>
    <row r="1105" spans="1:6" x14ac:dyDescent="0.2">
      <c r="A1105" s="6" t="s">
        <v>371</v>
      </c>
      <c r="B1105" s="4">
        <v>367</v>
      </c>
      <c r="C1105" s="2" t="s">
        <v>2307</v>
      </c>
      <c r="D1105" s="2" t="s">
        <v>4</v>
      </c>
      <c r="E1105" s="5" t="s">
        <v>410</v>
      </c>
      <c r="F1105" s="2">
        <v>295</v>
      </c>
    </row>
    <row r="1106" spans="1:6" x14ac:dyDescent="0.2">
      <c r="A1106" s="6" t="s">
        <v>70</v>
      </c>
      <c r="B1106" s="4">
        <v>65</v>
      </c>
      <c r="C1106" s="2" t="s">
        <v>2309</v>
      </c>
      <c r="D1106" s="2" t="s">
        <v>4</v>
      </c>
      <c r="E1106" s="5" t="s">
        <v>412</v>
      </c>
      <c r="F1106" s="2">
        <v>296</v>
      </c>
    </row>
    <row r="1107" spans="1:6" x14ac:dyDescent="0.2">
      <c r="A1107" s="6" t="s">
        <v>65</v>
      </c>
      <c r="B1107" s="4">
        <v>60</v>
      </c>
      <c r="C1107" s="2" t="s">
        <v>2309</v>
      </c>
      <c r="D1107" s="2" t="s">
        <v>4</v>
      </c>
      <c r="E1107" s="5" t="s">
        <v>412</v>
      </c>
      <c r="F1107" s="2">
        <v>167</v>
      </c>
    </row>
    <row r="1108" spans="1:6" x14ac:dyDescent="0.2">
      <c r="A1108" s="6" t="s">
        <v>321</v>
      </c>
      <c r="B1108" s="4">
        <v>317</v>
      </c>
      <c r="C1108" s="2" t="s">
        <v>2307</v>
      </c>
      <c r="D1108" s="2" t="s">
        <v>2</v>
      </c>
      <c r="E1108" s="5" t="s">
        <v>412</v>
      </c>
      <c r="F1108" s="2">
        <v>191</v>
      </c>
    </row>
    <row r="1109" spans="1:6" x14ac:dyDescent="0.2">
      <c r="A1109" s="6" t="s">
        <v>65</v>
      </c>
      <c r="B1109" s="4">
        <v>60</v>
      </c>
      <c r="C1109" s="2" t="s">
        <v>2309</v>
      </c>
      <c r="D1109" s="2" t="s">
        <v>4</v>
      </c>
      <c r="E1109" s="5" t="s">
        <v>409</v>
      </c>
      <c r="F1109" s="2">
        <v>266</v>
      </c>
    </row>
    <row r="1110" spans="1:6" x14ac:dyDescent="0.2">
      <c r="A1110" s="6" t="s">
        <v>129</v>
      </c>
      <c r="B1110" s="4">
        <v>124</v>
      </c>
      <c r="C1110" s="2" t="s">
        <v>2310</v>
      </c>
      <c r="D1110" s="2" t="s">
        <v>3</v>
      </c>
      <c r="E1110" s="6" t="s">
        <v>408</v>
      </c>
      <c r="F1110" s="2">
        <v>192</v>
      </c>
    </row>
    <row r="1111" spans="1:6" x14ac:dyDescent="0.2">
      <c r="A1111" s="6" t="s">
        <v>133</v>
      </c>
      <c r="B1111" s="4">
        <v>128</v>
      </c>
      <c r="C1111" s="2" t="s">
        <v>2310</v>
      </c>
      <c r="D1111" s="2" t="s">
        <v>3</v>
      </c>
      <c r="E1111" s="7" t="s">
        <v>410</v>
      </c>
      <c r="F1111" s="2">
        <v>273</v>
      </c>
    </row>
    <row r="1112" spans="1:6" x14ac:dyDescent="0.2">
      <c r="A1112" s="6" t="s">
        <v>88</v>
      </c>
      <c r="B1112" s="4">
        <v>83</v>
      </c>
      <c r="C1112" s="2" t="s">
        <v>2309</v>
      </c>
      <c r="D1112" s="2" t="s">
        <v>5</v>
      </c>
      <c r="E1112" s="5" t="s">
        <v>410</v>
      </c>
      <c r="F1112" s="2">
        <v>217</v>
      </c>
    </row>
    <row r="1113" spans="1:6" x14ac:dyDescent="0.2">
      <c r="A1113" s="6" t="s">
        <v>188</v>
      </c>
      <c r="B1113" s="4">
        <v>183</v>
      </c>
      <c r="C1113" s="2" t="s">
        <v>2310</v>
      </c>
      <c r="D1113" s="2" t="s">
        <v>5</v>
      </c>
      <c r="E1113" s="6" t="s">
        <v>408</v>
      </c>
      <c r="F1113" s="2">
        <v>192</v>
      </c>
    </row>
    <row r="1114" spans="1:6" x14ac:dyDescent="0.2">
      <c r="A1114" s="6" t="s">
        <v>131</v>
      </c>
      <c r="B1114" s="4">
        <v>126</v>
      </c>
      <c r="C1114" s="2" t="s">
        <v>2310</v>
      </c>
      <c r="D1114" s="2" t="s">
        <v>3</v>
      </c>
      <c r="E1114" s="6" t="s">
        <v>408</v>
      </c>
      <c r="F1114" s="2">
        <v>176</v>
      </c>
    </row>
    <row r="1115" spans="1:6" x14ac:dyDescent="0.2">
      <c r="A1115" s="6" t="s">
        <v>385</v>
      </c>
      <c r="B1115" s="4">
        <v>381</v>
      </c>
      <c r="C1115" s="2" t="s">
        <v>2307</v>
      </c>
      <c r="D1115" s="2" t="s">
        <v>5</v>
      </c>
      <c r="E1115" s="5" t="s">
        <v>411</v>
      </c>
      <c r="F1115" s="2">
        <v>211</v>
      </c>
    </row>
    <row r="1116" spans="1:6" x14ac:dyDescent="0.2">
      <c r="A1116" s="6" t="s">
        <v>63</v>
      </c>
      <c r="B1116" s="4">
        <v>58</v>
      </c>
      <c r="C1116" s="2" t="s">
        <v>2309</v>
      </c>
      <c r="D1116" s="2" t="s">
        <v>4</v>
      </c>
      <c r="E1116" s="5" t="s">
        <v>410</v>
      </c>
      <c r="F1116" s="2">
        <v>291</v>
      </c>
    </row>
    <row r="1117" spans="1:6" x14ac:dyDescent="0.2">
      <c r="A1117" s="6" t="s">
        <v>243</v>
      </c>
      <c r="B1117" s="4">
        <v>239</v>
      </c>
      <c r="C1117" s="2" t="s">
        <v>2308</v>
      </c>
      <c r="D1117" s="2" t="s">
        <v>3</v>
      </c>
      <c r="E1117" s="5" t="s">
        <v>412</v>
      </c>
      <c r="F1117" s="2">
        <v>246</v>
      </c>
    </row>
    <row r="1118" spans="1:6" x14ac:dyDescent="0.2">
      <c r="A1118" s="6" t="s">
        <v>228</v>
      </c>
      <c r="B1118" s="4">
        <v>224</v>
      </c>
      <c r="C1118" s="2" t="s">
        <v>2308</v>
      </c>
      <c r="D1118" s="2" t="s">
        <v>3</v>
      </c>
      <c r="E1118" s="6" t="s">
        <v>408</v>
      </c>
      <c r="F1118" s="2">
        <v>189</v>
      </c>
    </row>
    <row r="1119" spans="1:6" x14ac:dyDescent="0.2">
      <c r="A1119" s="6" t="s">
        <v>395</v>
      </c>
      <c r="B1119" s="4">
        <v>391</v>
      </c>
      <c r="C1119" s="2" t="s">
        <v>2307</v>
      </c>
      <c r="D1119" s="2" t="s">
        <v>5</v>
      </c>
      <c r="E1119" s="5" t="s">
        <v>408</v>
      </c>
      <c r="F1119" s="2">
        <v>230</v>
      </c>
    </row>
    <row r="1120" spans="1:6" x14ac:dyDescent="0.2">
      <c r="A1120" s="6" t="s">
        <v>246</v>
      </c>
      <c r="B1120" s="4">
        <v>242</v>
      </c>
      <c r="C1120" s="2" t="s">
        <v>2308</v>
      </c>
      <c r="D1120" s="2" t="s">
        <v>3</v>
      </c>
      <c r="E1120" s="5" t="s">
        <v>412</v>
      </c>
      <c r="F1120" s="2">
        <v>291</v>
      </c>
    </row>
    <row r="1121" spans="1:6" x14ac:dyDescent="0.2">
      <c r="A1121" s="6" t="s">
        <v>93</v>
      </c>
      <c r="B1121" s="4">
        <v>88</v>
      </c>
      <c r="C1121" s="2" t="s">
        <v>2309</v>
      </c>
      <c r="D1121" s="2" t="s">
        <v>5</v>
      </c>
      <c r="E1121" s="5" t="s">
        <v>409</v>
      </c>
      <c r="F1121" s="2">
        <v>127</v>
      </c>
    </row>
    <row r="1122" spans="1:6" x14ac:dyDescent="0.2">
      <c r="A1122" s="6" t="s">
        <v>292</v>
      </c>
      <c r="B1122" s="4">
        <v>288</v>
      </c>
      <c r="C1122" s="2" t="s">
        <v>2308</v>
      </c>
      <c r="D1122" s="2" t="s">
        <v>5</v>
      </c>
      <c r="E1122" s="5" t="s">
        <v>409</v>
      </c>
      <c r="F1122" s="2">
        <v>163</v>
      </c>
    </row>
    <row r="1123" spans="1:6" x14ac:dyDescent="0.2">
      <c r="A1123" s="6" t="s">
        <v>132</v>
      </c>
      <c r="B1123" s="4">
        <v>127</v>
      </c>
      <c r="C1123" s="2" t="s">
        <v>2310</v>
      </c>
      <c r="D1123" s="2" t="s">
        <v>3</v>
      </c>
      <c r="E1123" s="7" t="s">
        <v>411</v>
      </c>
      <c r="F1123" s="2">
        <v>246</v>
      </c>
    </row>
    <row r="1124" spans="1:6" x14ac:dyDescent="0.2">
      <c r="A1124" s="6" t="s">
        <v>13</v>
      </c>
      <c r="B1124" s="4">
        <v>8</v>
      </c>
      <c r="C1124" s="2" t="s">
        <v>2309</v>
      </c>
      <c r="D1124" s="2" t="s">
        <v>2</v>
      </c>
      <c r="E1124" s="5" t="s">
        <v>412</v>
      </c>
      <c r="F1124" s="2">
        <v>131</v>
      </c>
    </row>
    <row r="1125" spans="1:6" x14ac:dyDescent="0.2">
      <c r="A1125" s="6" t="s">
        <v>31</v>
      </c>
      <c r="B1125" s="4">
        <v>26</v>
      </c>
      <c r="C1125" s="2" t="s">
        <v>2309</v>
      </c>
      <c r="D1125" s="2" t="s">
        <v>2</v>
      </c>
      <c r="E1125" s="5" t="s">
        <v>409</v>
      </c>
      <c r="F1125" s="2">
        <v>120</v>
      </c>
    </row>
    <row r="1126" spans="1:6" x14ac:dyDescent="0.2">
      <c r="A1126" s="6" t="s">
        <v>20</v>
      </c>
      <c r="B1126" s="4">
        <v>15</v>
      </c>
      <c r="C1126" s="2" t="s">
        <v>2309</v>
      </c>
      <c r="D1126" s="2" t="s">
        <v>2</v>
      </c>
      <c r="E1126" s="5" t="s">
        <v>410</v>
      </c>
      <c r="F1126" s="2">
        <v>273</v>
      </c>
    </row>
    <row r="1127" spans="1:6" x14ac:dyDescent="0.2">
      <c r="A1127" s="6" t="s">
        <v>222</v>
      </c>
      <c r="B1127" s="4">
        <v>218</v>
      </c>
      <c r="C1127" s="2" t="s">
        <v>2308</v>
      </c>
      <c r="D1127" s="2" t="s">
        <v>3</v>
      </c>
      <c r="E1127" s="6" t="s">
        <v>408</v>
      </c>
      <c r="F1127" s="2">
        <v>218</v>
      </c>
    </row>
    <row r="1128" spans="1:6" x14ac:dyDescent="0.2">
      <c r="A1128" s="6" t="s">
        <v>306</v>
      </c>
      <c r="B1128" s="4">
        <v>302</v>
      </c>
      <c r="C1128" s="2" t="s">
        <v>2307</v>
      </c>
      <c r="D1128" s="2" t="s">
        <v>2</v>
      </c>
      <c r="E1128" s="5" t="s">
        <v>410</v>
      </c>
      <c r="F1128" s="2">
        <v>153</v>
      </c>
    </row>
    <row r="1129" spans="1:6" x14ac:dyDescent="0.2">
      <c r="A1129" s="6" t="s">
        <v>243</v>
      </c>
      <c r="B1129" s="4">
        <v>239</v>
      </c>
      <c r="C1129" s="2" t="s">
        <v>2308</v>
      </c>
      <c r="D1129" s="2" t="s">
        <v>3</v>
      </c>
      <c r="E1129" s="7" t="s">
        <v>411</v>
      </c>
      <c r="F1129" s="2">
        <v>265</v>
      </c>
    </row>
    <row r="1130" spans="1:6" x14ac:dyDescent="0.2">
      <c r="A1130" s="6" t="s">
        <v>174</v>
      </c>
      <c r="B1130" s="4">
        <v>169</v>
      </c>
      <c r="C1130" s="2" t="s">
        <v>2310</v>
      </c>
      <c r="D1130" s="2" t="s">
        <v>5</v>
      </c>
      <c r="E1130" s="7" t="s">
        <v>409</v>
      </c>
      <c r="F1130" s="2">
        <v>169</v>
      </c>
    </row>
    <row r="1131" spans="1:6" x14ac:dyDescent="0.2">
      <c r="A1131" s="6" t="s">
        <v>370</v>
      </c>
      <c r="B1131" s="4">
        <v>366</v>
      </c>
      <c r="C1131" s="2" t="s">
        <v>2307</v>
      </c>
      <c r="D1131" s="2" t="s">
        <v>4</v>
      </c>
      <c r="E1131" s="5" t="s">
        <v>410</v>
      </c>
      <c r="F1131" s="2">
        <v>122</v>
      </c>
    </row>
    <row r="1132" spans="1:6" x14ac:dyDescent="0.2">
      <c r="A1132" s="6" t="s">
        <v>237</v>
      </c>
      <c r="B1132" s="4">
        <v>233</v>
      </c>
      <c r="C1132" s="2" t="s">
        <v>2308</v>
      </c>
      <c r="D1132" s="2" t="s">
        <v>3</v>
      </c>
      <c r="E1132" s="7" t="s">
        <v>410</v>
      </c>
      <c r="F1132" s="2">
        <v>283</v>
      </c>
    </row>
    <row r="1133" spans="1:6" x14ac:dyDescent="0.2">
      <c r="A1133" s="6" t="s">
        <v>157</v>
      </c>
      <c r="B1133" s="4">
        <v>152</v>
      </c>
      <c r="C1133" s="2" t="s">
        <v>2310</v>
      </c>
      <c r="D1133" s="2" t="s">
        <v>4</v>
      </c>
      <c r="E1133" s="7" t="s">
        <v>409</v>
      </c>
      <c r="F1133" s="2">
        <v>161</v>
      </c>
    </row>
    <row r="1134" spans="1:6" x14ac:dyDescent="0.2">
      <c r="A1134" s="6" t="s">
        <v>186</v>
      </c>
      <c r="B1134" s="4">
        <v>181</v>
      </c>
      <c r="C1134" s="2" t="s">
        <v>2310</v>
      </c>
      <c r="D1134" s="2" t="s">
        <v>5</v>
      </c>
      <c r="E1134" s="7" t="s">
        <v>410</v>
      </c>
      <c r="F1134" s="2">
        <v>153</v>
      </c>
    </row>
    <row r="1135" spans="1:6" x14ac:dyDescent="0.2">
      <c r="A1135" s="6" t="s">
        <v>388</v>
      </c>
      <c r="B1135" s="4">
        <v>384</v>
      </c>
      <c r="C1135" s="2" t="s">
        <v>2307</v>
      </c>
      <c r="D1135" s="2" t="s">
        <v>5</v>
      </c>
      <c r="E1135" s="5" t="s">
        <v>411</v>
      </c>
      <c r="F1135" s="2">
        <v>215</v>
      </c>
    </row>
    <row r="1136" spans="1:6" x14ac:dyDescent="0.2">
      <c r="A1136" s="6" t="s">
        <v>217</v>
      </c>
      <c r="B1136" s="4">
        <v>213</v>
      </c>
      <c r="C1136" s="2" t="s">
        <v>2308</v>
      </c>
      <c r="D1136" s="2" t="s">
        <v>2</v>
      </c>
      <c r="E1136" s="6" t="s">
        <v>408</v>
      </c>
      <c r="F1136" s="2">
        <v>154</v>
      </c>
    </row>
    <row r="1137" spans="1:6" x14ac:dyDescent="0.2">
      <c r="A1137" s="6" t="s">
        <v>309</v>
      </c>
      <c r="B1137" s="4">
        <v>305</v>
      </c>
      <c r="C1137" s="2" t="s">
        <v>2307</v>
      </c>
      <c r="D1137" s="2" t="s">
        <v>2</v>
      </c>
      <c r="E1137" s="5" t="s">
        <v>408</v>
      </c>
      <c r="F1137" s="2">
        <v>226</v>
      </c>
    </row>
    <row r="1138" spans="1:6" x14ac:dyDescent="0.2">
      <c r="A1138" s="6" t="s">
        <v>92</v>
      </c>
      <c r="B1138" s="4">
        <v>87</v>
      </c>
      <c r="C1138" s="2" t="s">
        <v>2309</v>
      </c>
      <c r="D1138" s="2" t="s">
        <v>5</v>
      </c>
      <c r="E1138" s="5" t="s">
        <v>408</v>
      </c>
      <c r="F1138" s="2">
        <v>236</v>
      </c>
    </row>
    <row r="1139" spans="1:6" x14ac:dyDescent="0.2">
      <c r="A1139" s="6" t="s">
        <v>286</v>
      </c>
      <c r="B1139" s="4">
        <v>282</v>
      </c>
      <c r="C1139" s="2" t="s">
        <v>2308</v>
      </c>
      <c r="D1139" s="2" t="s">
        <v>5</v>
      </c>
      <c r="E1139" s="5" t="s">
        <v>409</v>
      </c>
      <c r="F1139" s="2">
        <v>188</v>
      </c>
    </row>
    <row r="1140" spans="1:6" x14ac:dyDescent="0.2">
      <c r="A1140" s="6" t="s">
        <v>50</v>
      </c>
      <c r="B1140" s="4">
        <v>45</v>
      </c>
      <c r="C1140" s="2" t="s">
        <v>2309</v>
      </c>
      <c r="D1140" s="2" t="s">
        <v>3</v>
      </c>
      <c r="E1140" s="5" t="s">
        <v>410</v>
      </c>
      <c r="F1140" s="2">
        <v>226</v>
      </c>
    </row>
    <row r="1141" spans="1:6" x14ac:dyDescent="0.2">
      <c r="A1141" s="6" t="s">
        <v>141</v>
      </c>
      <c r="B1141" s="4">
        <v>136</v>
      </c>
      <c r="C1141" s="2" t="s">
        <v>2310</v>
      </c>
      <c r="D1141" s="2" t="s">
        <v>3</v>
      </c>
      <c r="E1141" s="7" t="s">
        <v>409</v>
      </c>
      <c r="F1141" s="2">
        <v>255</v>
      </c>
    </row>
    <row r="1142" spans="1:6" x14ac:dyDescent="0.2">
      <c r="A1142" s="6" t="s">
        <v>133</v>
      </c>
      <c r="B1142" s="4">
        <v>128</v>
      </c>
      <c r="C1142" s="2" t="s">
        <v>2310</v>
      </c>
      <c r="D1142" s="2" t="s">
        <v>3</v>
      </c>
      <c r="E1142" s="7" t="s">
        <v>411</v>
      </c>
      <c r="F1142" s="2">
        <v>142</v>
      </c>
    </row>
    <row r="1143" spans="1:6" x14ac:dyDescent="0.2">
      <c r="A1143" s="6" t="s">
        <v>52</v>
      </c>
      <c r="B1143" s="4">
        <v>47</v>
      </c>
      <c r="C1143" s="2" t="s">
        <v>2309</v>
      </c>
      <c r="D1143" s="2" t="s">
        <v>3</v>
      </c>
      <c r="E1143" s="5" t="s">
        <v>409</v>
      </c>
      <c r="F1143" s="2">
        <v>209</v>
      </c>
    </row>
    <row r="1144" spans="1:6" x14ac:dyDescent="0.2">
      <c r="A1144" s="6" t="s">
        <v>77</v>
      </c>
      <c r="B1144" s="4">
        <v>72</v>
      </c>
      <c r="C1144" s="2" t="s">
        <v>2309</v>
      </c>
      <c r="D1144" s="2" t="s">
        <v>4</v>
      </c>
      <c r="E1144" s="5" t="s">
        <v>409</v>
      </c>
      <c r="F1144" s="2">
        <v>272</v>
      </c>
    </row>
    <row r="1145" spans="1:6" x14ac:dyDescent="0.2">
      <c r="A1145" s="6" t="s">
        <v>299</v>
      </c>
      <c r="B1145" s="4">
        <v>295</v>
      </c>
      <c r="C1145" s="2" t="s">
        <v>2308</v>
      </c>
      <c r="D1145" s="2" t="s">
        <v>5</v>
      </c>
      <c r="E1145" s="6" t="s">
        <v>408</v>
      </c>
      <c r="F1145" s="2">
        <v>206</v>
      </c>
    </row>
    <row r="1146" spans="1:6" x14ac:dyDescent="0.2">
      <c r="A1146" s="6" t="s">
        <v>217</v>
      </c>
      <c r="B1146" s="4">
        <v>213</v>
      </c>
      <c r="C1146" s="2" t="s">
        <v>2308</v>
      </c>
      <c r="D1146" s="2" t="s">
        <v>2</v>
      </c>
      <c r="E1146" s="5" t="s">
        <v>410</v>
      </c>
      <c r="F1146" s="2">
        <v>235</v>
      </c>
    </row>
    <row r="1147" spans="1:6" x14ac:dyDescent="0.2">
      <c r="A1147" s="6" t="s">
        <v>68</v>
      </c>
      <c r="B1147" s="4">
        <v>63</v>
      </c>
      <c r="C1147" s="2" t="s">
        <v>2309</v>
      </c>
      <c r="D1147" s="2" t="s">
        <v>4</v>
      </c>
      <c r="E1147" s="5" t="s">
        <v>410</v>
      </c>
      <c r="F1147" s="2">
        <v>155</v>
      </c>
    </row>
    <row r="1148" spans="1:6" x14ac:dyDescent="0.2">
      <c r="A1148" s="6" t="s">
        <v>149</v>
      </c>
      <c r="B1148" s="4">
        <v>144</v>
      </c>
      <c r="C1148" s="2" t="s">
        <v>2310</v>
      </c>
      <c r="D1148" s="2" t="s">
        <v>4</v>
      </c>
      <c r="E1148" s="5" t="s">
        <v>412</v>
      </c>
      <c r="F1148" s="2">
        <v>162</v>
      </c>
    </row>
    <row r="1149" spans="1:6" x14ac:dyDescent="0.2">
      <c r="A1149" s="6" t="s">
        <v>175</v>
      </c>
      <c r="B1149" s="4">
        <v>170</v>
      </c>
      <c r="C1149" s="2" t="s">
        <v>2310</v>
      </c>
      <c r="D1149" s="2" t="s">
        <v>5</v>
      </c>
      <c r="E1149" s="7" t="s">
        <v>409</v>
      </c>
      <c r="F1149" s="2">
        <v>165</v>
      </c>
    </row>
    <row r="1150" spans="1:6" x14ac:dyDescent="0.2">
      <c r="A1150" s="6" t="s">
        <v>241</v>
      </c>
      <c r="B1150" s="4">
        <v>237</v>
      </c>
      <c r="C1150" s="2" t="s">
        <v>2308</v>
      </c>
      <c r="D1150" s="2" t="s">
        <v>3</v>
      </c>
      <c r="E1150" s="6" t="s">
        <v>408</v>
      </c>
      <c r="F1150" s="2">
        <v>132</v>
      </c>
    </row>
    <row r="1151" spans="1:6" x14ac:dyDescent="0.2">
      <c r="A1151" s="6" t="s">
        <v>92</v>
      </c>
      <c r="B1151" s="4">
        <v>87</v>
      </c>
      <c r="C1151" s="2" t="s">
        <v>2309</v>
      </c>
      <c r="D1151" s="2" t="s">
        <v>5</v>
      </c>
      <c r="E1151" s="5" t="s">
        <v>412</v>
      </c>
      <c r="F1151" s="2">
        <v>196</v>
      </c>
    </row>
    <row r="1152" spans="1:6" x14ac:dyDescent="0.2">
      <c r="A1152" s="6" t="s">
        <v>289</v>
      </c>
      <c r="B1152" s="4">
        <v>285</v>
      </c>
      <c r="C1152" s="2" t="s">
        <v>2308</v>
      </c>
      <c r="D1152" s="2" t="s">
        <v>5</v>
      </c>
      <c r="E1152" s="5" t="s">
        <v>409</v>
      </c>
      <c r="F1152" s="2">
        <v>134</v>
      </c>
    </row>
    <row r="1153" spans="1:6" x14ac:dyDescent="0.2">
      <c r="A1153" s="6" t="s">
        <v>383</v>
      </c>
      <c r="B1153" s="4">
        <v>379</v>
      </c>
      <c r="C1153" s="2" t="s">
        <v>2307</v>
      </c>
      <c r="D1153" s="2" t="s">
        <v>5</v>
      </c>
      <c r="E1153" s="5" t="s">
        <v>409</v>
      </c>
      <c r="F1153" s="2">
        <v>199</v>
      </c>
    </row>
    <row r="1154" spans="1:6" x14ac:dyDescent="0.2">
      <c r="A1154" s="6" t="s">
        <v>338</v>
      </c>
      <c r="B1154" s="4">
        <v>334</v>
      </c>
      <c r="C1154" s="2" t="s">
        <v>2307</v>
      </c>
      <c r="D1154" s="2" t="s">
        <v>3</v>
      </c>
      <c r="E1154" s="5" t="s">
        <v>410</v>
      </c>
      <c r="F1154" s="2">
        <v>262</v>
      </c>
    </row>
    <row r="1155" spans="1:6" x14ac:dyDescent="0.2">
      <c r="A1155" s="6" t="s">
        <v>353</v>
      </c>
      <c r="B1155" s="4">
        <v>349</v>
      </c>
      <c r="C1155" s="2" t="s">
        <v>2307</v>
      </c>
      <c r="D1155" s="2" t="s">
        <v>3</v>
      </c>
      <c r="E1155" s="5" t="s">
        <v>408</v>
      </c>
      <c r="F1155" s="2">
        <v>217</v>
      </c>
    </row>
    <row r="1156" spans="1:6" x14ac:dyDescent="0.2">
      <c r="A1156" s="6" t="s">
        <v>15</v>
      </c>
      <c r="B1156" s="4">
        <v>10</v>
      </c>
      <c r="C1156" s="2" t="s">
        <v>2309</v>
      </c>
      <c r="D1156" s="2" t="s">
        <v>2</v>
      </c>
      <c r="E1156" s="5" t="s">
        <v>412</v>
      </c>
      <c r="F1156" s="2">
        <v>238</v>
      </c>
    </row>
    <row r="1157" spans="1:6" x14ac:dyDescent="0.2">
      <c r="A1157" s="6" t="s">
        <v>92</v>
      </c>
      <c r="B1157" s="4">
        <v>87</v>
      </c>
      <c r="C1157" s="2" t="s">
        <v>2309</v>
      </c>
      <c r="D1157" s="2" t="s">
        <v>5</v>
      </c>
      <c r="E1157" s="5" t="s">
        <v>411</v>
      </c>
      <c r="F1157" s="2">
        <v>233</v>
      </c>
    </row>
    <row r="1158" spans="1:6" x14ac:dyDescent="0.2">
      <c r="A1158" s="6" t="s">
        <v>15</v>
      </c>
      <c r="B1158" s="4">
        <v>10</v>
      </c>
      <c r="C1158" s="2" t="s">
        <v>2309</v>
      </c>
      <c r="D1158" s="2" t="s">
        <v>2</v>
      </c>
      <c r="E1158" s="5" t="s">
        <v>410</v>
      </c>
      <c r="F1158" s="2">
        <v>282</v>
      </c>
    </row>
    <row r="1159" spans="1:6" x14ac:dyDescent="0.2">
      <c r="A1159" s="6" t="s">
        <v>303</v>
      </c>
      <c r="B1159" s="4">
        <v>299</v>
      </c>
      <c r="C1159" s="2" t="s">
        <v>2307</v>
      </c>
      <c r="D1159" s="2" t="s">
        <v>2</v>
      </c>
      <c r="E1159" s="5" t="s">
        <v>408</v>
      </c>
      <c r="F1159" s="2">
        <v>219</v>
      </c>
    </row>
    <row r="1160" spans="1:6" x14ac:dyDescent="0.2">
      <c r="A1160" s="6" t="s">
        <v>281</v>
      </c>
      <c r="B1160" s="4">
        <v>277</v>
      </c>
      <c r="C1160" s="2" t="s">
        <v>2308</v>
      </c>
      <c r="D1160" s="2" t="s">
        <v>5</v>
      </c>
      <c r="E1160" s="5" t="s">
        <v>412</v>
      </c>
      <c r="F1160" s="2">
        <v>275</v>
      </c>
    </row>
    <row r="1161" spans="1:6" x14ac:dyDescent="0.2">
      <c r="A1161" s="6" t="s">
        <v>21</v>
      </c>
      <c r="B1161" s="4">
        <v>16</v>
      </c>
      <c r="C1161" s="2" t="s">
        <v>2309</v>
      </c>
      <c r="D1161" s="2" t="s">
        <v>2</v>
      </c>
      <c r="E1161" s="5" t="s">
        <v>410</v>
      </c>
      <c r="F1161" s="2">
        <v>231</v>
      </c>
    </row>
    <row r="1162" spans="1:6" x14ac:dyDescent="0.2">
      <c r="A1162" s="6" t="s">
        <v>274</v>
      </c>
      <c r="B1162" s="4">
        <v>270</v>
      </c>
      <c r="C1162" s="2" t="s">
        <v>2308</v>
      </c>
      <c r="D1162" s="2" t="s">
        <v>4</v>
      </c>
      <c r="E1162" s="5" t="s">
        <v>411</v>
      </c>
      <c r="F1162" s="2">
        <v>134</v>
      </c>
    </row>
    <row r="1163" spans="1:6" x14ac:dyDescent="0.2">
      <c r="A1163" s="6" t="s">
        <v>118</v>
      </c>
      <c r="B1163" s="4">
        <v>113</v>
      </c>
      <c r="C1163" s="2" t="s">
        <v>2310</v>
      </c>
      <c r="D1163" s="2" t="s">
        <v>2</v>
      </c>
      <c r="E1163" s="5" t="s">
        <v>409</v>
      </c>
      <c r="F1163" s="2">
        <v>186</v>
      </c>
    </row>
    <row r="1164" spans="1:6" x14ac:dyDescent="0.2">
      <c r="A1164" s="6" t="s">
        <v>200</v>
      </c>
      <c r="B1164" s="4">
        <v>196</v>
      </c>
      <c r="C1164" s="2" t="s">
        <v>2308</v>
      </c>
      <c r="D1164" s="2" t="s">
        <v>2</v>
      </c>
      <c r="E1164" s="5" t="s">
        <v>412</v>
      </c>
      <c r="F1164" s="2">
        <v>250</v>
      </c>
    </row>
    <row r="1165" spans="1:6" x14ac:dyDescent="0.2">
      <c r="A1165" s="6" t="s">
        <v>44</v>
      </c>
      <c r="B1165" s="4">
        <v>39</v>
      </c>
      <c r="C1165" s="2" t="s">
        <v>2309</v>
      </c>
      <c r="D1165" s="2" t="s">
        <v>3</v>
      </c>
      <c r="E1165" s="5" t="s">
        <v>410</v>
      </c>
      <c r="F1165" s="2">
        <v>300</v>
      </c>
    </row>
    <row r="1166" spans="1:6" x14ac:dyDescent="0.2">
      <c r="A1166" s="6" t="s">
        <v>25</v>
      </c>
      <c r="B1166" s="4">
        <v>20</v>
      </c>
      <c r="C1166" s="2" t="s">
        <v>2309</v>
      </c>
      <c r="D1166" s="2" t="s">
        <v>2</v>
      </c>
      <c r="E1166" s="5" t="s">
        <v>411</v>
      </c>
      <c r="F1166" s="2">
        <v>133</v>
      </c>
    </row>
    <row r="1167" spans="1:6" x14ac:dyDescent="0.2">
      <c r="A1167" s="6" t="s">
        <v>158</v>
      </c>
      <c r="B1167" s="4">
        <v>153</v>
      </c>
      <c r="C1167" s="2" t="s">
        <v>2310</v>
      </c>
      <c r="D1167" s="2" t="s">
        <v>4</v>
      </c>
      <c r="E1167" s="7" t="s">
        <v>409</v>
      </c>
      <c r="F1167" s="2">
        <v>182</v>
      </c>
    </row>
    <row r="1168" spans="1:6" x14ac:dyDescent="0.2">
      <c r="A1168" s="6" t="s">
        <v>300</v>
      </c>
      <c r="B1168" s="4">
        <v>296</v>
      </c>
      <c r="C1168" s="2" t="s">
        <v>2307</v>
      </c>
      <c r="D1168" s="2" t="s">
        <v>2</v>
      </c>
      <c r="E1168" s="5" t="s">
        <v>412</v>
      </c>
      <c r="F1168" s="2">
        <v>193</v>
      </c>
    </row>
    <row r="1169" spans="1:6" x14ac:dyDescent="0.2">
      <c r="A1169" s="6" t="s">
        <v>366</v>
      </c>
      <c r="B1169" s="4">
        <v>362</v>
      </c>
      <c r="C1169" s="2" t="s">
        <v>2307</v>
      </c>
      <c r="D1169" s="2" t="s">
        <v>4</v>
      </c>
      <c r="E1169" s="5" t="s">
        <v>409</v>
      </c>
      <c r="F1169" s="2">
        <v>120</v>
      </c>
    </row>
    <row r="1170" spans="1:6" x14ac:dyDescent="0.2">
      <c r="A1170" s="6" t="s">
        <v>390</v>
      </c>
      <c r="B1170" s="4">
        <v>386</v>
      </c>
      <c r="C1170" s="2" t="s">
        <v>2307</v>
      </c>
      <c r="D1170" s="2" t="s">
        <v>5</v>
      </c>
      <c r="E1170" s="5" t="s">
        <v>408</v>
      </c>
      <c r="F1170" s="2">
        <v>188</v>
      </c>
    </row>
    <row r="1171" spans="1:6" x14ac:dyDescent="0.2">
      <c r="A1171" s="6" t="s">
        <v>32</v>
      </c>
      <c r="B1171" s="4">
        <v>27</v>
      </c>
      <c r="C1171" s="2" t="s">
        <v>2309</v>
      </c>
      <c r="D1171" s="2" t="s">
        <v>2</v>
      </c>
      <c r="E1171" s="5" t="s">
        <v>412</v>
      </c>
      <c r="F1171" s="2">
        <v>124</v>
      </c>
    </row>
    <row r="1172" spans="1:6" x14ac:dyDescent="0.2">
      <c r="A1172" s="6" t="s">
        <v>308</v>
      </c>
      <c r="B1172" s="4">
        <v>304</v>
      </c>
      <c r="C1172" s="2" t="s">
        <v>2307</v>
      </c>
      <c r="D1172" s="2" t="s">
        <v>2</v>
      </c>
      <c r="E1172" s="5" t="s">
        <v>410</v>
      </c>
      <c r="F1172" s="2">
        <v>265</v>
      </c>
    </row>
    <row r="1173" spans="1:6" x14ac:dyDescent="0.2">
      <c r="A1173" s="6" t="s">
        <v>221</v>
      </c>
      <c r="B1173" s="4">
        <v>217</v>
      </c>
      <c r="C1173" s="2" t="s">
        <v>2308</v>
      </c>
      <c r="D1173" s="2" t="s">
        <v>3</v>
      </c>
      <c r="E1173" s="5" t="s">
        <v>412</v>
      </c>
      <c r="F1173" s="2">
        <v>133</v>
      </c>
    </row>
    <row r="1174" spans="1:6" x14ac:dyDescent="0.2">
      <c r="A1174" s="6" t="s">
        <v>324</v>
      </c>
      <c r="B1174" s="4">
        <v>320</v>
      </c>
      <c r="C1174" s="2" t="s">
        <v>2307</v>
      </c>
      <c r="D1174" s="2" t="s">
        <v>2</v>
      </c>
      <c r="E1174" s="5" t="s">
        <v>409</v>
      </c>
      <c r="F1174" s="2">
        <v>124</v>
      </c>
    </row>
    <row r="1175" spans="1:6" x14ac:dyDescent="0.2">
      <c r="A1175" s="6" t="s">
        <v>27</v>
      </c>
      <c r="B1175" s="4">
        <v>22</v>
      </c>
      <c r="C1175" s="2" t="s">
        <v>2309</v>
      </c>
      <c r="D1175" s="2" t="s">
        <v>2</v>
      </c>
      <c r="E1175" s="5" t="s">
        <v>412</v>
      </c>
      <c r="F1175" s="2">
        <v>289</v>
      </c>
    </row>
    <row r="1176" spans="1:6" x14ac:dyDescent="0.2">
      <c r="A1176" s="6" t="s">
        <v>76</v>
      </c>
      <c r="B1176" s="4">
        <v>71</v>
      </c>
      <c r="C1176" s="2" t="s">
        <v>2309</v>
      </c>
      <c r="D1176" s="2" t="s">
        <v>4</v>
      </c>
      <c r="E1176" s="5" t="s">
        <v>410</v>
      </c>
      <c r="F1176" s="2">
        <v>191</v>
      </c>
    </row>
    <row r="1177" spans="1:6" x14ac:dyDescent="0.2">
      <c r="A1177" s="6" t="s">
        <v>248</v>
      </c>
      <c r="B1177" s="4">
        <v>244</v>
      </c>
      <c r="C1177" s="2" t="s">
        <v>2308</v>
      </c>
      <c r="D1177" s="2" t="s">
        <v>4</v>
      </c>
      <c r="E1177" s="7" t="s">
        <v>409</v>
      </c>
      <c r="F1177" s="2">
        <v>185</v>
      </c>
    </row>
    <row r="1178" spans="1:6" x14ac:dyDescent="0.2">
      <c r="A1178" s="6" t="s">
        <v>115</v>
      </c>
      <c r="B1178" s="4">
        <v>110</v>
      </c>
      <c r="C1178" s="2" t="s">
        <v>2310</v>
      </c>
      <c r="D1178" s="2" t="s">
        <v>2</v>
      </c>
      <c r="E1178" s="5" t="s">
        <v>412</v>
      </c>
      <c r="F1178" s="2">
        <v>188</v>
      </c>
    </row>
    <row r="1179" spans="1:6" x14ac:dyDescent="0.2">
      <c r="A1179" s="6" t="s">
        <v>393</v>
      </c>
      <c r="B1179" s="4">
        <v>389</v>
      </c>
      <c r="C1179" s="2" t="s">
        <v>2307</v>
      </c>
      <c r="D1179" s="2" t="s">
        <v>5</v>
      </c>
      <c r="E1179" s="5" t="s">
        <v>409</v>
      </c>
      <c r="F1179" s="2">
        <v>125</v>
      </c>
    </row>
    <row r="1180" spans="1:6" x14ac:dyDescent="0.2">
      <c r="A1180" s="6" t="s">
        <v>381</v>
      </c>
      <c r="B1180" s="4">
        <v>377</v>
      </c>
      <c r="C1180" s="2" t="s">
        <v>2307</v>
      </c>
      <c r="D1180" s="2" t="s">
        <v>5</v>
      </c>
      <c r="E1180" s="5" t="s">
        <v>412</v>
      </c>
      <c r="F1180" s="2">
        <v>151</v>
      </c>
    </row>
    <row r="1181" spans="1:6" x14ac:dyDescent="0.2">
      <c r="A1181" s="6" t="s">
        <v>372</v>
      </c>
      <c r="B1181" s="4">
        <v>368</v>
      </c>
      <c r="C1181" s="2" t="s">
        <v>2307</v>
      </c>
      <c r="D1181" s="2" t="s">
        <v>4</v>
      </c>
      <c r="E1181" s="5" t="s">
        <v>412</v>
      </c>
      <c r="F1181" s="2">
        <v>294</v>
      </c>
    </row>
    <row r="1182" spans="1:6" x14ac:dyDescent="0.2">
      <c r="A1182" s="6" t="s">
        <v>149</v>
      </c>
      <c r="B1182" s="4">
        <v>144</v>
      </c>
      <c r="C1182" s="2" t="s">
        <v>2310</v>
      </c>
      <c r="D1182" s="2" t="s">
        <v>4</v>
      </c>
      <c r="E1182" s="5" t="s">
        <v>411</v>
      </c>
      <c r="F1182" s="2">
        <v>165</v>
      </c>
    </row>
    <row r="1183" spans="1:6" x14ac:dyDescent="0.2">
      <c r="A1183" s="6" t="s">
        <v>40</v>
      </c>
      <c r="B1183" s="4">
        <v>35</v>
      </c>
      <c r="C1183" s="2" t="s">
        <v>2309</v>
      </c>
      <c r="D1183" s="2" t="s">
        <v>3</v>
      </c>
      <c r="E1183" s="5" t="s">
        <v>412</v>
      </c>
      <c r="F1183" s="2">
        <v>197</v>
      </c>
    </row>
    <row r="1184" spans="1:6" x14ac:dyDescent="0.2">
      <c r="A1184" s="6" t="s">
        <v>160</v>
      </c>
      <c r="B1184" s="4">
        <v>155</v>
      </c>
      <c r="C1184" s="2" t="s">
        <v>2310</v>
      </c>
      <c r="D1184" s="2" t="s">
        <v>4</v>
      </c>
      <c r="E1184" s="6" t="s">
        <v>408</v>
      </c>
      <c r="F1184" s="2">
        <v>229</v>
      </c>
    </row>
    <row r="1185" spans="1:6" x14ac:dyDescent="0.2">
      <c r="A1185" s="6" t="s">
        <v>270</v>
      </c>
      <c r="B1185" s="4">
        <v>266</v>
      </c>
      <c r="C1185" s="2" t="s">
        <v>2308</v>
      </c>
      <c r="D1185" s="2" t="s">
        <v>4</v>
      </c>
      <c r="E1185" s="5" t="s">
        <v>411</v>
      </c>
      <c r="F1185" s="2">
        <v>152</v>
      </c>
    </row>
    <row r="1186" spans="1:6" x14ac:dyDescent="0.2">
      <c r="A1186" s="6" t="s">
        <v>242</v>
      </c>
      <c r="B1186" s="4">
        <v>238</v>
      </c>
      <c r="C1186" s="2" t="s">
        <v>2308</v>
      </c>
      <c r="D1186" s="2" t="s">
        <v>3</v>
      </c>
      <c r="E1186" s="6" t="s">
        <v>408</v>
      </c>
      <c r="F1186" s="2">
        <v>264</v>
      </c>
    </row>
    <row r="1187" spans="1:6" x14ac:dyDescent="0.2">
      <c r="A1187" s="6" t="s">
        <v>351</v>
      </c>
      <c r="B1187" s="4">
        <v>347</v>
      </c>
      <c r="C1187" s="2" t="s">
        <v>2307</v>
      </c>
      <c r="D1187" s="2" t="s">
        <v>3</v>
      </c>
      <c r="E1187" s="5" t="s">
        <v>408</v>
      </c>
      <c r="F1187" s="2">
        <v>227</v>
      </c>
    </row>
    <row r="1188" spans="1:6" x14ac:dyDescent="0.2">
      <c r="A1188" s="6" t="s">
        <v>135</v>
      </c>
      <c r="B1188" s="4">
        <v>130</v>
      </c>
      <c r="C1188" s="2" t="s">
        <v>2310</v>
      </c>
      <c r="D1188" s="2" t="s">
        <v>3</v>
      </c>
      <c r="E1188" s="6" t="s">
        <v>408</v>
      </c>
      <c r="F1188" s="2">
        <v>128</v>
      </c>
    </row>
    <row r="1189" spans="1:6" x14ac:dyDescent="0.2">
      <c r="A1189" s="6" t="s">
        <v>191</v>
      </c>
      <c r="B1189" s="4">
        <v>186</v>
      </c>
      <c r="C1189" s="2" t="s">
        <v>2310</v>
      </c>
      <c r="D1189" s="2" t="s">
        <v>5</v>
      </c>
      <c r="E1189" s="5" t="s">
        <v>411</v>
      </c>
      <c r="F1189" s="2">
        <v>210</v>
      </c>
    </row>
    <row r="1190" spans="1:6" x14ac:dyDescent="0.2">
      <c r="A1190" s="6" t="s">
        <v>356</v>
      </c>
      <c r="B1190" s="4">
        <v>352</v>
      </c>
      <c r="C1190" s="2" t="s">
        <v>2307</v>
      </c>
      <c r="D1190" s="2" t="s">
        <v>4</v>
      </c>
      <c r="E1190" s="5" t="s">
        <v>412</v>
      </c>
      <c r="F1190" s="2">
        <v>245</v>
      </c>
    </row>
    <row r="1191" spans="1:6" x14ac:dyDescent="0.2">
      <c r="A1191" s="6" t="s">
        <v>90</v>
      </c>
      <c r="B1191" s="4">
        <v>85</v>
      </c>
      <c r="C1191" s="2" t="s">
        <v>2309</v>
      </c>
      <c r="D1191" s="2" t="s">
        <v>5</v>
      </c>
      <c r="E1191" s="5" t="s">
        <v>412</v>
      </c>
      <c r="F1191" s="2">
        <v>144</v>
      </c>
    </row>
    <row r="1192" spans="1:6" x14ac:dyDescent="0.2">
      <c r="A1192" s="6" t="s">
        <v>308</v>
      </c>
      <c r="B1192" s="4">
        <v>304</v>
      </c>
      <c r="C1192" s="2" t="s">
        <v>2307</v>
      </c>
      <c r="D1192" s="2" t="s">
        <v>2</v>
      </c>
      <c r="E1192" s="5" t="s">
        <v>411</v>
      </c>
      <c r="F1192" s="2">
        <v>286</v>
      </c>
    </row>
    <row r="1193" spans="1:6" x14ac:dyDescent="0.2">
      <c r="A1193" s="6" t="s">
        <v>233</v>
      </c>
      <c r="B1193" s="4">
        <v>229</v>
      </c>
      <c r="C1193" s="2" t="s">
        <v>2308</v>
      </c>
      <c r="D1193" s="2" t="s">
        <v>3</v>
      </c>
      <c r="E1193" s="5" t="s">
        <v>412</v>
      </c>
      <c r="F1193" s="2">
        <v>207</v>
      </c>
    </row>
    <row r="1194" spans="1:6" x14ac:dyDescent="0.2">
      <c r="A1194" s="6" t="s">
        <v>115</v>
      </c>
      <c r="B1194" s="4">
        <v>110</v>
      </c>
      <c r="C1194" s="2" t="s">
        <v>2310</v>
      </c>
      <c r="D1194" s="2" t="s">
        <v>2</v>
      </c>
      <c r="E1194" s="5" t="s">
        <v>410</v>
      </c>
      <c r="F1194" s="2">
        <v>276</v>
      </c>
    </row>
    <row r="1195" spans="1:6" x14ac:dyDescent="0.2">
      <c r="A1195" s="6" t="s">
        <v>74</v>
      </c>
      <c r="B1195" s="4">
        <v>69</v>
      </c>
      <c r="C1195" s="2" t="s">
        <v>2309</v>
      </c>
      <c r="D1195" s="2" t="s">
        <v>4</v>
      </c>
      <c r="E1195" s="5" t="s">
        <v>408</v>
      </c>
      <c r="F1195" s="2">
        <v>156</v>
      </c>
    </row>
    <row r="1196" spans="1:6" x14ac:dyDescent="0.2">
      <c r="A1196" s="6" t="s">
        <v>354</v>
      </c>
      <c r="B1196" s="4">
        <v>350</v>
      </c>
      <c r="C1196" s="2" t="s">
        <v>2307</v>
      </c>
      <c r="D1196" s="2" t="s">
        <v>3</v>
      </c>
      <c r="E1196" s="5" t="s">
        <v>412</v>
      </c>
      <c r="F1196" s="2">
        <v>193</v>
      </c>
    </row>
    <row r="1197" spans="1:6" x14ac:dyDescent="0.2">
      <c r="A1197" s="6" t="s">
        <v>238</v>
      </c>
      <c r="B1197" s="4">
        <v>234</v>
      </c>
      <c r="C1197" s="2" t="s">
        <v>2308</v>
      </c>
      <c r="D1197" s="2" t="s">
        <v>3</v>
      </c>
      <c r="E1197" s="7" t="s">
        <v>409</v>
      </c>
      <c r="F1197" s="2">
        <v>142</v>
      </c>
    </row>
    <row r="1198" spans="1:6" x14ac:dyDescent="0.2">
      <c r="A1198" s="6" t="s">
        <v>314</v>
      </c>
      <c r="B1198" s="4">
        <v>310</v>
      </c>
      <c r="C1198" s="2" t="s">
        <v>2307</v>
      </c>
      <c r="D1198" s="2" t="s">
        <v>2</v>
      </c>
      <c r="E1198" s="5" t="s">
        <v>410</v>
      </c>
      <c r="F1198" s="2">
        <v>238</v>
      </c>
    </row>
    <row r="1199" spans="1:6" x14ac:dyDescent="0.2">
      <c r="A1199" s="6" t="s">
        <v>320</v>
      </c>
      <c r="B1199" s="4">
        <v>316</v>
      </c>
      <c r="C1199" s="2" t="s">
        <v>2307</v>
      </c>
      <c r="D1199" s="2" t="s">
        <v>2</v>
      </c>
      <c r="E1199" s="5" t="s">
        <v>410</v>
      </c>
      <c r="F1199" s="2">
        <v>251</v>
      </c>
    </row>
    <row r="1200" spans="1:6" x14ac:dyDescent="0.2">
      <c r="A1200" s="6" t="s">
        <v>18</v>
      </c>
      <c r="B1200" s="4">
        <v>13</v>
      </c>
      <c r="C1200" s="2" t="s">
        <v>2309</v>
      </c>
      <c r="D1200" s="2" t="s">
        <v>2</v>
      </c>
      <c r="E1200" s="5" t="s">
        <v>409</v>
      </c>
      <c r="F1200" s="2">
        <v>229</v>
      </c>
    </row>
    <row r="1201" spans="1:6" x14ac:dyDescent="0.2">
      <c r="A1201" s="6" t="s">
        <v>265</v>
      </c>
      <c r="B1201" s="4">
        <v>261</v>
      </c>
      <c r="C1201" s="2" t="s">
        <v>2308</v>
      </c>
      <c r="D1201" s="2" t="s">
        <v>4</v>
      </c>
      <c r="E1201" s="5" t="s">
        <v>410</v>
      </c>
      <c r="F1201" s="2">
        <v>244</v>
      </c>
    </row>
    <row r="1202" spans="1:6" x14ac:dyDescent="0.2">
      <c r="A1202" s="6" t="s">
        <v>204</v>
      </c>
      <c r="B1202" s="4">
        <v>200</v>
      </c>
      <c r="C1202" s="2" t="s">
        <v>2308</v>
      </c>
      <c r="D1202" s="2" t="s">
        <v>2</v>
      </c>
      <c r="E1202" s="6" t="s">
        <v>408</v>
      </c>
      <c r="F1202" s="2">
        <v>222</v>
      </c>
    </row>
    <row r="1203" spans="1:6" x14ac:dyDescent="0.2">
      <c r="A1203" s="6" t="s">
        <v>89</v>
      </c>
      <c r="B1203" s="4">
        <v>84</v>
      </c>
      <c r="C1203" s="2" t="s">
        <v>2309</v>
      </c>
      <c r="D1203" s="2" t="s">
        <v>5</v>
      </c>
      <c r="E1203" s="5" t="s">
        <v>410</v>
      </c>
      <c r="F1203" s="2">
        <v>133</v>
      </c>
    </row>
    <row r="1204" spans="1:6" x14ac:dyDescent="0.2">
      <c r="A1204" s="6" t="s">
        <v>34</v>
      </c>
      <c r="B1204" s="4">
        <v>29</v>
      </c>
      <c r="C1204" s="2" t="s">
        <v>2309</v>
      </c>
      <c r="D1204" s="2" t="s">
        <v>3</v>
      </c>
      <c r="E1204" s="5" t="s">
        <v>412</v>
      </c>
      <c r="F1204" s="2">
        <v>251</v>
      </c>
    </row>
    <row r="1205" spans="1:6" x14ac:dyDescent="0.2">
      <c r="A1205" s="6" t="s">
        <v>204</v>
      </c>
      <c r="B1205" s="4">
        <v>200</v>
      </c>
      <c r="C1205" s="2" t="s">
        <v>2308</v>
      </c>
      <c r="D1205" s="2" t="s">
        <v>2</v>
      </c>
      <c r="E1205" s="5" t="s">
        <v>411</v>
      </c>
      <c r="F1205" s="2">
        <v>217</v>
      </c>
    </row>
    <row r="1206" spans="1:6" x14ac:dyDescent="0.2">
      <c r="A1206" s="6" t="s">
        <v>391</v>
      </c>
      <c r="B1206" s="4">
        <v>387</v>
      </c>
      <c r="C1206" s="2" t="s">
        <v>2307</v>
      </c>
      <c r="D1206" s="2" t="s">
        <v>5</v>
      </c>
      <c r="E1206" s="5" t="s">
        <v>410</v>
      </c>
      <c r="F1206" s="2">
        <v>160</v>
      </c>
    </row>
    <row r="1207" spans="1:6" x14ac:dyDescent="0.2">
      <c r="A1207" s="6" t="s">
        <v>102</v>
      </c>
      <c r="B1207" s="4">
        <v>97</v>
      </c>
      <c r="C1207" s="2" t="s">
        <v>2309</v>
      </c>
      <c r="D1207" s="2" t="s">
        <v>5</v>
      </c>
      <c r="E1207" s="5" t="s">
        <v>409</v>
      </c>
      <c r="F1207" s="2">
        <v>129</v>
      </c>
    </row>
    <row r="1208" spans="1:6" x14ac:dyDescent="0.2">
      <c r="A1208" s="6" t="s">
        <v>150</v>
      </c>
      <c r="B1208" s="4">
        <v>145</v>
      </c>
      <c r="C1208" s="2" t="s">
        <v>2310</v>
      </c>
      <c r="D1208" s="2" t="s">
        <v>4</v>
      </c>
      <c r="E1208" s="7" t="s">
        <v>409</v>
      </c>
      <c r="F1208" s="2">
        <v>127</v>
      </c>
    </row>
    <row r="1209" spans="1:6" x14ac:dyDescent="0.2">
      <c r="A1209" s="6" t="s">
        <v>338</v>
      </c>
      <c r="B1209" s="4">
        <v>334</v>
      </c>
      <c r="C1209" s="2" t="s">
        <v>2307</v>
      </c>
      <c r="D1209" s="2" t="s">
        <v>3</v>
      </c>
      <c r="E1209" s="5" t="s">
        <v>409</v>
      </c>
      <c r="F1209" s="2">
        <v>276</v>
      </c>
    </row>
    <row r="1210" spans="1:6" x14ac:dyDescent="0.2">
      <c r="A1210" s="6" t="s">
        <v>322</v>
      </c>
      <c r="B1210" s="4">
        <v>318</v>
      </c>
      <c r="C1210" s="2" t="s">
        <v>2307</v>
      </c>
      <c r="D1210" s="2" t="s">
        <v>2</v>
      </c>
      <c r="E1210" s="5" t="s">
        <v>410</v>
      </c>
      <c r="F1210" s="2">
        <v>192</v>
      </c>
    </row>
    <row r="1211" spans="1:6" x14ac:dyDescent="0.2">
      <c r="A1211" s="6" t="s">
        <v>288</v>
      </c>
      <c r="B1211" s="4">
        <v>284</v>
      </c>
      <c r="C1211" s="2" t="s">
        <v>2308</v>
      </c>
      <c r="D1211" s="2" t="s">
        <v>5</v>
      </c>
      <c r="E1211" s="5" t="s">
        <v>410</v>
      </c>
      <c r="F1211" s="2">
        <v>253</v>
      </c>
    </row>
    <row r="1212" spans="1:6" x14ac:dyDescent="0.2">
      <c r="A1212" s="6" t="s">
        <v>61</v>
      </c>
      <c r="B1212" s="4">
        <v>56</v>
      </c>
      <c r="C1212" s="2" t="s">
        <v>2309</v>
      </c>
      <c r="D1212" s="2" t="s">
        <v>4</v>
      </c>
      <c r="E1212" s="5" t="s">
        <v>408</v>
      </c>
      <c r="F1212" s="2">
        <v>168</v>
      </c>
    </row>
    <row r="1213" spans="1:6" x14ac:dyDescent="0.2">
      <c r="A1213" s="6" t="s">
        <v>358</v>
      </c>
      <c r="B1213" s="4">
        <v>354</v>
      </c>
      <c r="C1213" s="2" t="s">
        <v>2307</v>
      </c>
      <c r="D1213" s="2" t="s">
        <v>4</v>
      </c>
      <c r="E1213" s="5" t="s">
        <v>408</v>
      </c>
      <c r="F1213" s="2">
        <v>171</v>
      </c>
    </row>
    <row r="1214" spans="1:6" x14ac:dyDescent="0.2">
      <c r="A1214" s="6" t="s">
        <v>27</v>
      </c>
      <c r="B1214" s="4">
        <v>22</v>
      </c>
      <c r="C1214" s="2" t="s">
        <v>2309</v>
      </c>
      <c r="D1214" s="2" t="s">
        <v>2</v>
      </c>
      <c r="E1214" s="5" t="s">
        <v>411</v>
      </c>
      <c r="F1214" s="2">
        <v>245</v>
      </c>
    </row>
    <row r="1215" spans="1:6" x14ac:dyDescent="0.2">
      <c r="A1215" s="6" t="s">
        <v>387</v>
      </c>
      <c r="B1215" s="4">
        <v>383</v>
      </c>
      <c r="C1215" s="2" t="s">
        <v>2307</v>
      </c>
      <c r="D1215" s="2" t="s">
        <v>5</v>
      </c>
      <c r="E1215" s="5" t="s">
        <v>408</v>
      </c>
      <c r="F1215" s="2">
        <v>120</v>
      </c>
    </row>
    <row r="1216" spans="1:6" x14ac:dyDescent="0.2">
      <c r="A1216" s="6" t="s">
        <v>193</v>
      </c>
      <c r="B1216" s="4">
        <v>189</v>
      </c>
      <c r="C1216" s="2" t="s">
        <v>2310</v>
      </c>
      <c r="D1216" s="2" t="s">
        <v>5</v>
      </c>
      <c r="E1216" s="7" t="s">
        <v>409</v>
      </c>
      <c r="F1216" s="2">
        <v>178</v>
      </c>
    </row>
    <row r="1217" spans="1:6" x14ac:dyDescent="0.2">
      <c r="A1217" s="6" t="s">
        <v>367</v>
      </c>
      <c r="B1217" s="4">
        <v>363</v>
      </c>
      <c r="C1217" s="2" t="s">
        <v>2307</v>
      </c>
      <c r="D1217" s="2" t="s">
        <v>4</v>
      </c>
      <c r="E1217" s="5" t="s">
        <v>409</v>
      </c>
      <c r="F1217" s="2">
        <v>284</v>
      </c>
    </row>
    <row r="1218" spans="1:6" x14ac:dyDescent="0.2">
      <c r="A1218" s="6" t="s">
        <v>262</v>
      </c>
      <c r="B1218" s="4">
        <v>258</v>
      </c>
      <c r="C1218" s="2" t="s">
        <v>2308</v>
      </c>
      <c r="D1218" s="2" t="s">
        <v>4</v>
      </c>
      <c r="E1218" s="5" t="s">
        <v>410</v>
      </c>
      <c r="F1218" s="2">
        <v>202</v>
      </c>
    </row>
    <row r="1219" spans="1:6" x14ac:dyDescent="0.2">
      <c r="A1219" s="6" t="s">
        <v>84</v>
      </c>
      <c r="B1219" s="4">
        <v>79</v>
      </c>
      <c r="C1219" s="2" t="s">
        <v>2309</v>
      </c>
      <c r="D1219" s="2" t="s">
        <v>5</v>
      </c>
      <c r="E1219" s="5" t="s">
        <v>411</v>
      </c>
      <c r="F1219" s="2">
        <v>213</v>
      </c>
    </row>
    <row r="1220" spans="1:6" x14ac:dyDescent="0.2">
      <c r="A1220" s="6" t="s">
        <v>350</v>
      </c>
      <c r="B1220" s="4">
        <v>346</v>
      </c>
      <c r="C1220" s="2" t="s">
        <v>2307</v>
      </c>
      <c r="D1220" s="2" t="s">
        <v>3</v>
      </c>
      <c r="E1220" s="5" t="s">
        <v>411</v>
      </c>
      <c r="F1220" s="2">
        <v>282</v>
      </c>
    </row>
    <row r="1221" spans="1:6" x14ac:dyDescent="0.2">
      <c r="A1221" s="6" t="s">
        <v>212</v>
      </c>
      <c r="B1221" s="4">
        <v>208</v>
      </c>
      <c r="C1221" s="2" t="s">
        <v>2308</v>
      </c>
      <c r="D1221" s="2" t="s">
        <v>2</v>
      </c>
      <c r="E1221" s="5" t="s">
        <v>411</v>
      </c>
      <c r="F1221" s="2">
        <v>125</v>
      </c>
    </row>
    <row r="1222" spans="1:6" x14ac:dyDescent="0.2">
      <c r="A1222" s="6" t="s">
        <v>11</v>
      </c>
      <c r="B1222" s="4">
        <v>6</v>
      </c>
      <c r="C1222" s="2" t="s">
        <v>2309</v>
      </c>
      <c r="D1222" s="2" t="s">
        <v>2</v>
      </c>
      <c r="E1222" s="5" t="s">
        <v>409</v>
      </c>
      <c r="F1222" s="2">
        <v>151</v>
      </c>
    </row>
    <row r="1223" spans="1:6" x14ac:dyDescent="0.2">
      <c r="A1223" s="6" t="s">
        <v>154</v>
      </c>
      <c r="B1223" s="4">
        <v>149</v>
      </c>
      <c r="C1223" s="2" t="s">
        <v>2310</v>
      </c>
      <c r="D1223" s="2" t="s">
        <v>4</v>
      </c>
      <c r="E1223" s="5" t="s">
        <v>412</v>
      </c>
      <c r="F1223" s="2">
        <v>299</v>
      </c>
    </row>
    <row r="1224" spans="1:6" x14ac:dyDescent="0.2">
      <c r="A1224" s="6" t="s">
        <v>176</v>
      </c>
      <c r="B1224" s="4">
        <v>171</v>
      </c>
      <c r="C1224" s="2" t="s">
        <v>2310</v>
      </c>
      <c r="D1224" s="2" t="s">
        <v>5</v>
      </c>
      <c r="E1224" s="7" t="s">
        <v>410</v>
      </c>
      <c r="F1224" s="2">
        <v>268</v>
      </c>
    </row>
    <row r="1225" spans="1:6" x14ac:dyDescent="0.2">
      <c r="A1225" s="6" t="s">
        <v>74</v>
      </c>
      <c r="B1225" s="4">
        <v>69</v>
      </c>
      <c r="C1225" s="2" t="s">
        <v>2309</v>
      </c>
      <c r="D1225" s="2" t="s">
        <v>4</v>
      </c>
      <c r="E1225" s="5" t="s">
        <v>409</v>
      </c>
      <c r="F1225" s="2">
        <v>255</v>
      </c>
    </row>
    <row r="1226" spans="1:6" x14ac:dyDescent="0.2">
      <c r="A1226" s="6" t="s">
        <v>308</v>
      </c>
      <c r="B1226" s="4">
        <v>304</v>
      </c>
      <c r="C1226" s="2" t="s">
        <v>2307</v>
      </c>
      <c r="D1226" s="2" t="s">
        <v>2</v>
      </c>
      <c r="E1226" s="5" t="s">
        <v>412</v>
      </c>
      <c r="F1226" s="2">
        <v>142</v>
      </c>
    </row>
    <row r="1227" spans="1:6" x14ac:dyDescent="0.2">
      <c r="A1227" s="6" t="s">
        <v>219</v>
      </c>
      <c r="B1227" s="4">
        <v>215</v>
      </c>
      <c r="C1227" s="2" t="s">
        <v>2308</v>
      </c>
      <c r="D1227" s="2" t="s">
        <v>2</v>
      </c>
      <c r="E1227" s="5" t="s">
        <v>410</v>
      </c>
      <c r="F1227" s="2">
        <v>170</v>
      </c>
    </row>
    <row r="1228" spans="1:6" x14ac:dyDescent="0.2">
      <c r="A1228" s="6" t="s">
        <v>167</v>
      </c>
      <c r="B1228" s="4">
        <v>162</v>
      </c>
      <c r="C1228" s="2" t="s">
        <v>2310</v>
      </c>
      <c r="D1228" s="2" t="s">
        <v>4</v>
      </c>
      <c r="E1228" s="6" t="s">
        <v>408</v>
      </c>
      <c r="F1228" s="2">
        <v>172</v>
      </c>
    </row>
    <row r="1229" spans="1:6" x14ac:dyDescent="0.2">
      <c r="A1229" s="6" t="s">
        <v>151</v>
      </c>
      <c r="B1229" s="4">
        <v>146</v>
      </c>
      <c r="C1229" s="2" t="s">
        <v>2310</v>
      </c>
      <c r="D1229" s="2" t="s">
        <v>4</v>
      </c>
      <c r="E1229" s="5" t="s">
        <v>411</v>
      </c>
      <c r="F1229" s="2">
        <v>294</v>
      </c>
    </row>
    <row r="1230" spans="1:6" x14ac:dyDescent="0.2">
      <c r="A1230" s="6" t="s">
        <v>398</v>
      </c>
      <c r="B1230" s="4">
        <v>394</v>
      </c>
      <c r="C1230" s="2" t="s">
        <v>2307</v>
      </c>
      <c r="D1230" s="2" t="s">
        <v>5</v>
      </c>
      <c r="E1230" s="5" t="s">
        <v>409</v>
      </c>
      <c r="F1230" s="2">
        <v>289</v>
      </c>
    </row>
    <row r="1231" spans="1:6" x14ac:dyDescent="0.2">
      <c r="A1231" s="6" t="s">
        <v>44</v>
      </c>
      <c r="B1231" s="4">
        <v>39</v>
      </c>
      <c r="C1231" s="2" t="s">
        <v>2309</v>
      </c>
      <c r="D1231" s="2" t="s">
        <v>3</v>
      </c>
      <c r="E1231" s="5" t="s">
        <v>411</v>
      </c>
      <c r="F1231" s="2">
        <v>120</v>
      </c>
    </row>
    <row r="1232" spans="1:6" x14ac:dyDescent="0.2">
      <c r="A1232" s="6" t="s">
        <v>184</v>
      </c>
      <c r="B1232" s="4">
        <v>179</v>
      </c>
      <c r="C1232" s="2" t="s">
        <v>2310</v>
      </c>
      <c r="D1232" s="2" t="s">
        <v>5</v>
      </c>
      <c r="E1232" s="6" t="s">
        <v>408</v>
      </c>
      <c r="F1232" s="2">
        <v>270</v>
      </c>
    </row>
    <row r="1233" spans="1:6" x14ac:dyDescent="0.2">
      <c r="A1233" s="6" t="s">
        <v>221</v>
      </c>
      <c r="B1233" s="4">
        <v>217</v>
      </c>
      <c r="C1233" s="2" t="s">
        <v>2308</v>
      </c>
      <c r="D1233" s="2" t="s">
        <v>3</v>
      </c>
      <c r="E1233" s="7" t="s">
        <v>411</v>
      </c>
      <c r="F1233" s="2">
        <v>235</v>
      </c>
    </row>
    <row r="1234" spans="1:6" x14ac:dyDescent="0.2">
      <c r="A1234" s="6" t="s">
        <v>398</v>
      </c>
      <c r="B1234" s="4">
        <v>394</v>
      </c>
      <c r="C1234" s="2" t="s">
        <v>2307</v>
      </c>
      <c r="D1234" s="2" t="s">
        <v>5</v>
      </c>
      <c r="E1234" s="5" t="s">
        <v>412</v>
      </c>
      <c r="F1234" s="2">
        <v>135</v>
      </c>
    </row>
    <row r="1235" spans="1:6" x14ac:dyDescent="0.2">
      <c r="A1235" s="6" t="s">
        <v>11</v>
      </c>
      <c r="B1235" s="4">
        <v>6</v>
      </c>
      <c r="C1235" s="2" t="s">
        <v>2309</v>
      </c>
      <c r="D1235" s="2" t="s">
        <v>2</v>
      </c>
      <c r="E1235" s="5" t="s">
        <v>411</v>
      </c>
      <c r="F1235" s="2">
        <v>136</v>
      </c>
    </row>
    <row r="1236" spans="1:6" x14ac:dyDescent="0.2">
      <c r="A1236" s="6" t="s">
        <v>123</v>
      </c>
      <c r="B1236" s="4">
        <v>118</v>
      </c>
      <c r="C1236" s="2" t="s">
        <v>2310</v>
      </c>
      <c r="D1236" s="2" t="s">
        <v>2</v>
      </c>
      <c r="E1236" s="5" t="s">
        <v>411</v>
      </c>
      <c r="F1236" s="2">
        <v>228</v>
      </c>
    </row>
    <row r="1237" spans="1:6" x14ac:dyDescent="0.2">
      <c r="A1237" s="6" t="s">
        <v>44</v>
      </c>
      <c r="B1237" s="4">
        <v>39</v>
      </c>
      <c r="C1237" s="2" t="s">
        <v>2309</v>
      </c>
      <c r="D1237" s="2" t="s">
        <v>3</v>
      </c>
      <c r="E1237" s="5" t="s">
        <v>409</v>
      </c>
      <c r="F1237" s="2">
        <v>288</v>
      </c>
    </row>
    <row r="1238" spans="1:6" x14ac:dyDescent="0.2">
      <c r="A1238" s="6" t="s">
        <v>312</v>
      </c>
      <c r="B1238" s="4">
        <v>308</v>
      </c>
      <c r="C1238" s="2" t="s">
        <v>2307</v>
      </c>
      <c r="D1238" s="2" t="s">
        <v>2</v>
      </c>
      <c r="E1238" s="5" t="s">
        <v>410</v>
      </c>
      <c r="F1238" s="2">
        <v>250</v>
      </c>
    </row>
    <row r="1239" spans="1:6" x14ac:dyDescent="0.2">
      <c r="A1239" s="6" t="s">
        <v>401</v>
      </c>
      <c r="B1239" s="4">
        <v>397</v>
      </c>
      <c r="C1239" s="2" t="s">
        <v>2307</v>
      </c>
      <c r="D1239" s="2" t="s">
        <v>5</v>
      </c>
      <c r="E1239" s="5" t="s">
        <v>412</v>
      </c>
      <c r="F1239" s="2">
        <v>145</v>
      </c>
    </row>
    <row r="1240" spans="1:6" x14ac:dyDescent="0.2">
      <c r="A1240" s="6" t="s">
        <v>168</v>
      </c>
      <c r="B1240" s="4">
        <v>163</v>
      </c>
      <c r="C1240" s="2" t="s">
        <v>2310</v>
      </c>
      <c r="D1240" s="2" t="s">
        <v>4</v>
      </c>
      <c r="E1240" s="5" t="s">
        <v>410</v>
      </c>
      <c r="F1240" s="2">
        <v>187</v>
      </c>
    </row>
    <row r="1241" spans="1:6" x14ac:dyDescent="0.2">
      <c r="A1241" s="6" t="s">
        <v>352</v>
      </c>
      <c r="B1241" s="4">
        <v>348</v>
      </c>
      <c r="C1241" s="2" t="s">
        <v>2307</v>
      </c>
      <c r="D1241" s="2" t="s">
        <v>3</v>
      </c>
      <c r="E1241" s="5" t="s">
        <v>411</v>
      </c>
      <c r="F1241" s="2">
        <v>198</v>
      </c>
    </row>
    <row r="1242" spans="1:6" x14ac:dyDescent="0.2">
      <c r="A1242" s="6" t="s">
        <v>33</v>
      </c>
      <c r="B1242" s="4">
        <v>28</v>
      </c>
      <c r="C1242" s="2" t="s">
        <v>2309</v>
      </c>
      <c r="D1242" s="2" t="s">
        <v>2</v>
      </c>
      <c r="E1242" s="5" t="s">
        <v>411</v>
      </c>
      <c r="F1242" s="2">
        <v>146</v>
      </c>
    </row>
    <row r="1243" spans="1:6" x14ac:dyDescent="0.2">
      <c r="A1243" s="6" t="s">
        <v>264</v>
      </c>
      <c r="B1243" s="4">
        <v>260</v>
      </c>
      <c r="C1243" s="2" t="s">
        <v>2308</v>
      </c>
      <c r="D1243" s="2" t="s">
        <v>4</v>
      </c>
      <c r="E1243" s="5" t="s">
        <v>410</v>
      </c>
      <c r="F1243" s="2">
        <v>213</v>
      </c>
    </row>
    <row r="1244" spans="1:6" x14ac:dyDescent="0.2">
      <c r="A1244" s="6" t="s">
        <v>383</v>
      </c>
      <c r="B1244" s="4">
        <v>379</v>
      </c>
      <c r="C1244" s="2" t="s">
        <v>2307</v>
      </c>
      <c r="D1244" s="2" t="s">
        <v>5</v>
      </c>
      <c r="E1244" s="5" t="s">
        <v>410</v>
      </c>
      <c r="F1244" s="2">
        <v>144</v>
      </c>
    </row>
    <row r="1245" spans="1:6" x14ac:dyDescent="0.2">
      <c r="A1245" s="6" t="s">
        <v>102</v>
      </c>
      <c r="B1245" s="4">
        <v>97</v>
      </c>
      <c r="C1245" s="2" t="s">
        <v>2309</v>
      </c>
      <c r="D1245" s="2" t="s">
        <v>5</v>
      </c>
      <c r="E1245" s="5" t="s">
        <v>410</v>
      </c>
      <c r="F1245" s="2">
        <v>291</v>
      </c>
    </row>
    <row r="1246" spans="1:6" x14ac:dyDescent="0.2">
      <c r="A1246" s="6" t="s">
        <v>209</v>
      </c>
      <c r="B1246" s="4">
        <v>205</v>
      </c>
      <c r="C1246" s="2" t="s">
        <v>2308</v>
      </c>
      <c r="D1246" s="2" t="s">
        <v>2</v>
      </c>
      <c r="E1246" s="5" t="s">
        <v>409</v>
      </c>
      <c r="F1246" s="2">
        <v>194</v>
      </c>
    </row>
    <row r="1247" spans="1:6" x14ac:dyDescent="0.2">
      <c r="A1247" s="6" t="s">
        <v>241</v>
      </c>
      <c r="B1247" s="4">
        <v>237</v>
      </c>
      <c r="C1247" s="2" t="s">
        <v>2308</v>
      </c>
      <c r="D1247" s="2" t="s">
        <v>3</v>
      </c>
      <c r="E1247" s="7" t="s">
        <v>410</v>
      </c>
      <c r="F1247" s="2">
        <v>128</v>
      </c>
    </row>
    <row r="1248" spans="1:6" x14ac:dyDescent="0.2">
      <c r="A1248" s="6" t="s">
        <v>263</v>
      </c>
      <c r="B1248" s="4">
        <v>259</v>
      </c>
      <c r="C1248" s="2" t="s">
        <v>2308</v>
      </c>
      <c r="D1248" s="2" t="s">
        <v>4</v>
      </c>
      <c r="E1248" s="5" t="s">
        <v>411</v>
      </c>
      <c r="F1248" s="2">
        <v>209</v>
      </c>
    </row>
    <row r="1249" spans="1:6" x14ac:dyDescent="0.2">
      <c r="A1249" s="6" t="s">
        <v>375</v>
      </c>
      <c r="B1249" s="4">
        <v>371</v>
      </c>
      <c r="C1249" s="2" t="s">
        <v>2307</v>
      </c>
      <c r="D1249" s="2" t="s">
        <v>4</v>
      </c>
      <c r="E1249" s="5" t="s">
        <v>409</v>
      </c>
      <c r="F1249" s="2">
        <v>168</v>
      </c>
    </row>
    <row r="1250" spans="1:6" x14ac:dyDescent="0.2">
      <c r="A1250" s="6" t="s">
        <v>291</v>
      </c>
      <c r="B1250" s="4">
        <v>287</v>
      </c>
      <c r="C1250" s="2" t="s">
        <v>2308</v>
      </c>
      <c r="D1250" s="2" t="s">
        <v>5</v>
      </c>
      <c r="E1250" s="5" t="s">
        <v>409</v>
      </c>
      <c r="F1250" s="2">
        <v>148</v>
      </c>
    </row>
    <row r="1251" spans="1:6" x14ac:dyDescent="0.2">
      <c r="A1251" s="6" t="s">
        <v>172</v>
      </c>
      <c r="B1251" s="4">
        <v>167</v>
      </c>
      <c r="C1251" s="2" t="s">
        <v>2310</v>
      </c>
      <c r="D1251" s="2" t="s">
        <v>4</v>
      </c>
      <c r="E1251" s="5" t="s">
        <v>412</v>
      </c>
      <c r="F1251" s="2">
        <v>221</v>
      </c>
    </row>
    <row r="1252" spans="1:6" x14ac:dyDescent="0.2">
      <c r="A1252" s="6" t="s">
        <v>370</v>
      </c>
      <c r="B1252" s="4">
        <v>366</v>
      </c>
      <c r="C1252" s="2" t="s">
        <v>2307</v>
      </c>
      <c r="D1252" s="2" t="s">
        <v>4</v>
      </c>
      <c r="E1252" s="5" t="s">
        <v>409</v>
      </c>
      <c r="F1252" s="2">
        <v>135</v>
      </c>
    </row>
    <row r="1253" spans="1:6" x14ac:dyDescent="0.2">
      <c r="A1253" s="6" t="s">
        <v>315</v>
      </c>
      <c r="B1253" s="4">
        <v>311</v>
      </c>
      <c r="C1253" s="2" t="s">
        <v>2307</v>
      </c>
      <c r="D1253" s="2" t="s">
        <v>2</v>
      </c>
      <c r="E1253" s="5" t="s">
        <v>409</v>
      </c>
      <c r="F1253" s="2">
        <v>217</v>
      </c>
    </row>
    <row r="1254" spans="1:6" x14ac:dyDescent="0.2">
      <c r="A1254" s="6" t="s">
        <v>80</v>
      </c>
      <c r="B1254" s="4">
        <v>75</v>
      </c>
      <c r="C1254" s="2" t="s">
        <v>2309</v>
      </c>
      <c r="D1254" s="2" t="s">
        <v>5</v>
      </c>
      <c r="E1254" s="5" t="s">
        <v>411</v>
      </c>
      <c r="F1254" s="2">
        <v>179</v>
      </c>
    </row>
    <row r="1255" spans="1:6" x14ac:dyDescent="0.2">
      <c r="A1255" s="6" t="s">
        <v>241</v>
      </c>
      <c r="B1255" s="4">
        <v>237</v>
      </c>
      <c r="C1255" s="2" t="s">
        <v>2308</v>
      </c>
      <c r="D1255" s="2" t="s">
        <v>3</v>
      </c>
      <c r="E1255" s="7" t="s">
        <v>411</v>
      </c>
      <c r="F1255" s="2">
        <v>178</v>
      </c>
    </row>
    <row r="1256" spans="1:6" x14ac:dyDescent="0.2">
      <c r="A1256" s="6" t="s">
        <v>356</v>
      </c>
      <c r="B1256" s="4">
        <v>352</v>
      </c>
      <c r="C1256" s="2" t="s">
        <v>2307</v>
      </c>
      <c r="D1256" s="2" t="s">
        <v>4</v>
      </c>
      <c r="E1256" s="5" t="s">
        <v>409</v>
      </c>
      <c r="F1256" s="2">
        <v>251</v>
      </c>
    </row>
    <row r="1257" spans="1:6" x14ac:dyDescent="0.2">
      <c r="A1257" s="6" t="s">
        <v>264</v>
      </c>
      <c r="B1257" s="4">
        <v>260</v>
      </c>
      <c r="C1257" s="2" t="s">
        <v>2308</v>
      </c>
      <c r="D1257" s="2" t="s">
        <v>4</v>
      </c>
      <c r="E1257" s="6" t="s">
        <v>408</v>
      </c>
      <c r="F1257" s="2">
        <v>213</v>
      </c>
    </row>
    <row r="1258" spans="1:6" x14ac:dyDescent="0.2">
      <c r="A1258" s="6" t="s">
        <v>155</v>
      </c>
      <c r="B1258" s="4">
        <v>150</v>
      </c>
      <c r="C1258" s="2" t="s">
        <v>2310</v>
      </c>
      <c r="D1258" s="2" t="s">
        <v>4</v>
      </c>
      <c r="E1258" s="7" t="s">
        <v>409</v>
      </c>
      <c r="F1258" s="2">
        <v>245</v>
      </c>
    </row>
    <row r="1259" spans="1:6" x14ac:dyDescent="0.2">
      <c r="A1259" s="6" t="s">
        <v>338</v>
      </c>
      <c r="B1259" s="4">
        <v>334</v>
      </c>
      <c r="C1259" s="2" t="s">
        <v>2307</v>
      </c>
      <c r="D1259" s="2" t="s">
        <v>3</v>
      </c>
      <c r="E1259" s="5" t="s">
        <v>408</v>
      </c>
      <c r="F1259" s="2">
        <v>293</v>
      </c>
    </row>
    <row r="1260" spans="1:6" x14ac:dyDescent="0.2">
      <c r="A1260" s="6" t="s">
        <v>221</v>
      </c>
      <c r="B1260" s="4">
        <v>217</v>
      </c>
      <c r="C1260" s="2" t="s">
        <v>2308</v>
      </c>
      <c r="D1260" s="2" t="s">
        <v>3</v>
      </c>
      <c r="E1260" s="7" t="s">
        <v>410</v>
      </c>
      <c r="F1260" s="2">
        <v>198</v>
      </c>
    </row>
    <row r="1261" spans="1:6" x14ac:dyDescent="0.2">
      <c r="A1261" s="6" t="s">
        <v>266</v>
      </c>
      <c r="B1261" s="4">
        <v>262</v>
      </c>
      <c r="C1261" s="2" t="s">
        <v>2308</v>
      </c>
      <c r="D1261" s="2" t="s">
        <v>4</v>
      </c>
      <c r="E1261" s="6" t="s">
        <v>408</v>
      </c>
      <c r="F1261" s="2">
        <v>168</v>
      </c>
    </row>
    <row r="1262" spans="1:6" x14ac:dyDescent="0.2">
      <c r="A1262" s="6" t="s">
        <v>388</v>
      </c>
      <c r="B1262" s="4">
        <v>384</v>
      </c>
      <c r="C1262" s="2" t="s">
        <v>2307</v>
      </c>
      <c r="D1262" s="2" t="s">
        <v>5</v>
      </c>
      <c r="E1262" s="5" t="s">
        <v>410</v>
      </c>
      <c r="F1262" s="2">
        <v>126</v>
      </c>
    </row>
    <row r="1263" spans="1:6" x14ac:dyDescent="0.2">
      <c r="A1263" s="6" t="s">
        <v>311</v>
      </c>
      <c r="B1263" s="4">
        <v>307</v>
      </c>
      <c r="C1263" s="2" t="s">
        <v>2307</v>
      </c>
      <c r="D1263" s="2" t="s">
        <v>2</v>
      </c>
      <c r="E1263" s="5" t="s">
        <v>412</v>
      </c>
      <c r="F1263" s="2">
        <v>131</v>
      </c>
    </row>
    <row r="1264" spans="1:6" x14ac:dyDescent="0.2">
      <c r="A1264" s="6" t="s">
        <v>330</v>
      </c>
      <c r="B1264" s="4">
        <v>326</v>
      </c>
      <c r="C1264" s="2" t="s">
        <v>2307</v>
      </c>
      <c r="D1264" s="2" t="s">
        <v>3</v>
      </c>
      <c r="E1264" s="5" t="s">
        <v>412</v>
      </c>
      <c r="F1264" s="2">
        <v>275</v>
      </c>
    </row>
    <row r="1265" spans="1:6" x14ac:dyDescent="0.2">
      <c r="A1265" s="6" t="s">
        <v>355</v>
      </c>
      <c r="B1265" s="4">
        <v>351</v>
      </c>
      <c r="C1265" s="2" t="s">
        <v>2307</v>
      </c>
      <c r="D1265" s="2" t="s">
        <v>3</v>
      </c>
      <c r="E1265" s="5" t="s">
        <v>409</v>
      </c>
      <c r="F1265" s="2">
        <v>281</v>
      </c>
    </row>
    <row r="1266" spans="1:6" x14ac:dyDescent="0.2">
      <c r="A1266" s="6" t="s">
        <v>89</v>
      </c>
      <c r="B1266" s="4">
        <v>84</v>
      </c>
      <c r="C1266" s="2" t="s">
        <v>2309</v>
      </c>
      <c r="D1266" s="2" t="s">
        <v>5</v>
      </c>
      <c r="E1266" s="5" t="s">
        <v>408</v>
      </c>
      <c r="F1266" s="2">
        <v>262</v>
      </c>
    </row>
    <row r="1267" spans="1:6" x14ac:dyDescent="0.2">
      <c r="A1267" s="6" t="s">
        <v>105</v>
      </c>
      <c r="B1267" s="4">
        <v>100</v>
      </c>
      <c r="C1267" s="2" t="s">
        <v>2310</v>
      </c>
      <c r="D1267" s="2" t="s">
        <v>2</v>
      </c>
      <c r="E1267" s="5" t="s">
        <v>408</v>
      </c>
      <c r="F1267" s="2">
        <v>135</v>
      </c>
    </row>
    <row r="1268" spans="1:6" x14ac:dyDescent="0.2">
      <c r="A1268" s="6" t="s">
        <v>144</v>
      </c>
      <c r="B1268" s="4">
        <v>139</v>
      </c>
      <c r="C1268" s="2" t="s">
        <v>2310</v>
      </c>
      <c r="D1268" s="2" t="s">
        <v>3</v>
      </c>
      <c r="E1268" s="7" t="s">
        <v>411</v>
      </c>
      <c r="F1268" s="2">
        <v>188</v>
      </c>
    </row>
    <row r="1269" spans="1:6" x14ac:dyDescent="0.2">
      <c r="A1269" s="6" t="s">
        <v>181</v>
      </c>
      <c r="B1269" s="4">
        <v>176</v>
      </c>
      <c r="C1269" s="2" t="s">
        <v>2310</v>
      </c>
      <c r="D1269" s="2" t="s">
        <v>5</v>
      </c>
      <c r="E1269" s="5" t="s">
        <v>411</v>
      </c>
      <c r="F1269" s="2">
        <v>160</v>
      </c>
    </row>
    <row r="1270" spans="1:6" x14ac:dyDescent="0.2">
      <c r="A1270" s="6" t="s">
        <v>404</v>
      </c>
      <c r="B1270" s="4">
        <v>400</v>
      </c>
      <c r="C1270" s="2" t="s">
        <v>2307</v>
      </c>
      <c r="D1270" s="2" t="s">
        <v>5</v>
      </c>
      <c r="E1270" s="5" t="s">
        <v>411</v>
      </c>
      <c r="F1270" s="2">
        <v>172</v>
      </c>
    </row>
    <row r="1271" spans="1:6" x14ac:dyDescent="0.2">
      <c r="A1271" s="6" t="s">
        <v>46</v>
      </c>
      <c r="B1271" s="4">
        <v>41</v>
      </c>
      <c r="C1271" s="2" t="s">
        <v>2309</v>
      </c>
      <c r="D1271" s="2" t="s">
        <v>3</v>
      </c>
      <c r="E1271" s="5" t="s">
        <v>410</v>
      </c>
      <c r="F1271" s="2">
        <v>255</v>
      </c>
    </row>
    <row r="1272" spans="1:6" x14ac:dyDescent="0.2">
      <c r="A1272" s="6" t="s">
        <v>346</v>
      </c>
      <c r="B1272" s="4">
        <v>342</v>
      </c>
      <c r="C1272" s="2" t="s">
        <v>2307</v>
      </c>
      <c r="D1272" s="2" t="s">
        <v>3</v>
      </c>
      <c r="E1272" s="5" t="s">
        <v>408</v>
      </c>
      <c r="F1272" s="2">
        <v>222</v>
      </c>
    </row>
    <row r="1273" spans="1:6" x14ac:dyDescent="0.2">
      <c r="A1273" s="6" t="s">
        <v>191</v>
      </c>
      <c r="B1273" s="4">
        <v>186</v>
      </c>
      <c r="C1273" s="2" t="s">
        <v>2310</v>
      </c>
      <c r="D1273" s="2" t="s">
        <v>5</v>
      </c>
      <c r="E1273" s="7" t="s">
        <v>410</v>
      </c>
      <c r="F1273" s="2">
        <v>150</v>
      </c>
    </row>
    <row r="1274" spans="1:6" x14ac:dyDescent="0.2">
      <c r="A1274" s="6" t="s">
        <v>19</v>
      </c>
      <c r="B1274" s="4">
        <v>14</v>
      </c>
      <c r="C1274" s="2" t="s">
        <v>2309</v>
      </c>
      <c r="D1274" s="2" t="s">
        <v>2</v>
      </c>
      <c r="E1274" s="5" t="s">
        <v>410</v>
      </c>
      <c r="F1274" s="2">
        <v>249</v>
      </c>
    </row>
    <row r="1275" spans="1:6" x14ac:dyDescent="0.2">
      <c r="A1275" s="6" t="s">
        <v>57</v>
      </c>
      <c r="B1275" s="4">
        <v>52</v>
      </c>
      <c r="C1275" s="2" t="s">
        <v>2309</v>
      </c>
      <c r="D1275" s="2" t="s">
        <v>4</v>
      </c>
      <c r="E1275" s="5" t="s">
        <v>409</v>
      </c>
      <c r="F1275" s="2">
        <v>222</v>
      </c>
    </row>
    <row r="1276" spans="1:6" x14ac:dyDescent="0.2">
      <c r="A1276" s="6" t="s">
        <v>218</v>
      </c>
      <c r="B1276" s="4">
        <v>214</v>
      </c>
      <c r="C1276" s="2" t="s">
        <v>2308</v>
      </c>
      <c r="D1276" s="2" t="s">
        <v>2</v>
      </c>
      <c r="E1276" s="5" t="s">
        <v>409</v>
      </c>
      <c r="F1276" s="2">
        <v>128</v>
      </c>
    </row>
    <row r="1277" spans="1:6" x14ac:dyDescent="0.2">
      <c r="A1277" s="6" t="s">
        <v>80</v>
      </c>
      <c r="B1277" s="4">
        <v>75</v>
      </c>
      <c r="C1277" s="2" t="s">
        <v>2309</v>
      </c>
      <c r="D1277" s="2" t="s">
        <v>5</v>
      </c>
      <c r="E1277" s="5" t="s">
        <v>408</v>
      </c>
      <c r="F1277" s="2">
        <v>252</v>
      </c>
    </row>
    <row r="1278" spans="1:6" x14ac:dyDescent="0.2">
      <c r="A1278" s="6" t="s">
        <v>170</v>
      </c>
      <c r="B1278" s="4">
        <v>165</v>
      </c>
      <c r="C1278" s="2" t="s">
        <v>2310</v>
      </c>
      <c r="D1278" s="2" t="s">
        <v>4</v>
      </c>
      <c r="E1278" s="6" t="s">
        <v>408</v>
      </c>
      <c r="F1278" s="2">
        <v>184</v>
      </c>
    </row>
    <row r="1279" spans="1:6" x14ac:dyDescent="0.2">
      <c r="A1279" s="6" t="s">
        <v>6</v>
      </c>
      <c r="B1279" s="4">
        <v>1</v>
      </c>
      <c r="C1279" s="2" t="s">
        <v>2309</v>
      </c>
      <c r="D1279" s="2" t="s">
        <v>2</v>
      </c>
      <c r="E1279" s="5" t="s">
        <v>412</v>
      </c>
      <c r="F1279" s="2">
        <v>215</v>
      </c>
    </row>
    <row r="1280" spans="1:6" x14ac:dyDescent="0.2">
      <c r="A1280" s="6" t="s">
        <v>75</v>
      </c>
      <c r="B1280" s="4">
        <v>70</v>
      </c>
      <c r="C1280" s="2" t="s">
        <v>2309</v>
      </c>
      <c r="D1280" s="2" t="s">
        <v>4</v>
      </c>
      <c r="E1280" s="5" t="s">
        <v>408</v>
      </c>
      <c r="F1280" s="2">
        <v>130</v>
      </c>
    </row>
    <row r="1281" spans="1:6" x14ac:dyDescent="0.2">
      <c r="A1281" s="6" t="s">
        <v>237</v>
      </c>
      <c r="B1281" s="4">
        <v>233</v>
      </c>
      <c r="C1281" s="2" t="s">
        <v>2308</v>
      </c>
      <c r="D1281" s="2" t="s">
        <v>3</v>
      </c>
      <c r="E1281" s="7" t="s">
        <v>411</v>
      </c>
      <c r="F1281" s="2">
        <v>236</v>
      </c>
    </row>
    <row r="1282" spans="1:6" x14ac:dyDescent="0.2">
      <c r="A1282" s="6" t="s">
        <v>22</v>
      </c>
      <c r="B1282" s="4">
        <v>17</v>
      </c>
      <c r="C1282" s="2" t="s">
        <v>2309</v>
      </c>
      <c r="D1282" s="2" t="s">
        <v>2</v>
      </c>
      <c r="E1282" s="5" t="s">
        <v>409</v>
      </c>
      <c r="F1282" s="2">
        <v>174</v>
      </c>
    </row>
    <row r="1283" spans="1:6" x14ac:dyDescent="0.2">
      <c r="A1283" s="6" t="s">
        <v>94</v>
      </c>
      <c r="B1283" s="4">
        <v>89</v>
      </c>
      <c r="C1283" s="2" t="s">
        <v>2309</v>
      </c>
      <c r="D1283" s="2" t="s">
        <v>5</v>
      </c>
      <c r="E1283" s="5" t="s">
        <v>408</v>
      </c>
      <c r="F1283" s="2">
        <v>255</v>
      </c>
    </row>
    <row r="1284" spans="1:6" x14ac:dyDescent="0.2">
      <c r="A1284" s="6" t="s">
        <v>72</v>
      </c>
      <c r="B1284" s="4">
        <v>67</v>
      </c>
      <c r="C1284" s="2" t="s">
        <v>2309</v>
      </c>
      <c r="D1284" s="2" t="s">
        <v>4</v>
      </c>
      <c r="E1284" s="5" t="s">
        <v>410</v>
      </c>
      <c r="F1284" s="2">
        <v>289</v>
      </c>
    </row>
    <row r="1285" spans="1:6" x14ac:dyDescent="0.2">
      <c r="A1285" s="6" t="s">
        <v>386</v>
      </c>
      <c r="B1285" s="4">
        <v>382</v>
      </c>
      <c r="C1285" s="2" t="s">
        <v>2307</v>
      </c>
      <c r="D1285" s="2" t="s">
        <v>5</v>
      </c>
      <c r="E1285" s="5" t="s">
        <v>408</v>
      </c>
      <c r="F1285" s="2">
        <v>153</v>
      </c>
    </row>
    <row r="1286" spans="1:6" x14ac:dyDescent="0.2">
      <c r="A1286" s="6" t="s">
        <v>385</v>
      </c>
      <c r="B1286" s="4">
        <v>381</v>
      </c>
      <c r="C1286" s="2" t="s">
        <v>2307</v>
      </c>
      <c r="D1286" s="2" t="s">
        <v>5</v>
      </c>
      <c r="E1286" s="5" t="s">
        <v>408</v>
      </c>
      <c r="F1286" s="2">
        <v>247</v>
      </c>
    </row>
    <row r="1287" spans="1:6" x14ac:dyDescent="0.2">
      <c r="A1287" s="6" t="s">
        <v>387</v>
      </c>
      <c r="B1287" s="4">
        <v>383</v>
      </c>
      <c r="C1287" s="2" t="s">
        <v>2307</v>
      </c>
      <c r="D1287" s="2" t="s">
        <v>5</v>
      </c>
      <c r="E1287" s="5" t="s">
        <v>409</v>
      </c>
      <c r="F1287" s="2">
        <v>138</v>
      </c>
    </row>
    <row r="1288" spans="1:6" x14ac:dyDescent="0.2">
      <c r="A1288" s="6" t="s">
        <v>202</v>
      </c>
      <c r="B1288" s="4">
        <v>198</v>
      </c>
      <c r="C1288" s="2" t="s">
        <v>2308</v>
      </c>
      <c r="D1288" s="2" t="s">
        <v>2</v>
      </c>
      <c r="E1288" s="5" t="s">
        <v>411</v>
      </c>
      <c r="F1288" s="2">
        <v>247</v>
      </c>
    </row>
    <row r="1289" spans="1:6" x14ac:dyDescent="0.2">
      <c r="A1289" s="6" t="s">
        <v>306</v>
      </c>
      <c r="B1289" s="4">
        <v>302</v>
      </c>
      <c r="C1289" s="2" t="s">
        <v>2307</v>
      </c>
      <c r="D1289" s="2" t="s">
        <v>2</v>
      </c>
      <c r="E1289" s="5" t="s">
        <v>411</v>
      </c>
      <c r="F1289" s="2">
        <v>235</v>
      </c>
    </row>
    <row r="1290" spans="1:6" x14ac:dyDescent="0.2">
      <c r="A1290" s="6" t="s">
        <v>392</v>
      </c>
      <c r="B1290" s="4">
        <v>388</v>
      </c>
      <c r="C1290" s="2" t="s">
        <v>2307</v>
      </c>
      <c r="D1290" s="2" t="s">
        <v>5</v>
      </c>
      <c r="E1290" s="5" t="s">
        <v>412</v>
      </c>
      <c r="F1290" s="2">
        <v>181</v>
      </c>
    </row>
    <row r="1291" spans="1:6" x14ac:dyDescent="0.2">
      <c r="A1291" s="6" t="s">
        <v>188</v>
      </c>
      <c r="B1291" s="4">
        <v>183</v>
      </c>
      <c r="C1291" s="2" t="s">
        <v>2310</v>
      </c>
      <c r="D1291" s="2" t="s">
        <v>5</v>
      </c>
      <c r="E1291" s="7" t="s">
        <v>410</v>
      </c>
      <c r="F1291" s="2">
        <v>277</v>
      </c>
    </row>
    <row r="1292" spans="1:6" x14ac:dyDescent="0.2">
      <c r="A1292" s="6" t="s">
        <v>177</v>
      </c>
      <c r="B1292" s="4">
        <v>172</v>
      </c>
      <c r="C1292" s="2" t="s">
        <v>2310</v>
      </c>
      <c r="D1292" s="2" t="s">
        <v>5</v>
      </c>
      <c r="E1292" s="6" t="s">
        <v>408</v>
      </c>
      <c r="F1292" s="2">
        <v>282</v>
      </c>
    </row>
    <row r="1293" spans="1:6" x14ac:dyDescent="0.2">
      <c r="A1293" s="6" t="s">
        <v>314</v>
      </c>
      <c r="B1293" s="4">
        <v>310</v>
      </c>
      <c r="C1293" s="2" t="s">
        <v>2307</v>
      </c>
      <c r="D1293" s="2" t="s">
        <v>2</v>
      </c>
      <c r="E1293" s="5" t="s">
        <v>408</v>
      </c>
      <c r="F1293" s="2">
        <v>162</v>
      </c>
    </row>
    <row r="1294" spans="1:6" x14ac:dyDescent="0.2">
      <c r="A1294" s="6" t="s">
        <v>343</v>
      </c>
      <c r="B1294" s="4">
        <v>339</v>
      </c>
      <c r="C1294" s="2" t="s">
        <v>2307</v>
      </c>
      <c r="D1294" s="2" t="s">
        <v>3</v>
      </c>
      <c r="E1294" s="5" t="s">
        <v>410</v>
      </c>
      <c r="F1294" s="2">
        <v>252</v>
      </c>
    </row>
    <row r="1295" spans="1:6" x14ac:dyDescent="0.2">
      <c r="A1295" s="6" t="s">
        <v>259</v>
      </c>
      <c r="B1295" s="4">
        <v>255</v>
      </c>
      <c r="C1295" s="2" t="s">
        <v>2308</v>
      </c>
      <c r="D1295" s="2" t="s">
        <v>4</v>
      </c>
      <c r="E1295" s="5" t="s">
        <v>411</v>
      </c>
      <c r="F1295" s="2">
        <v>173</v>
      </c>
    </row>
    <row r="1296" spans="1:6" x14ac:dyDescent="0.2">
      <c r="A1296" s="6" t="s">
        <v>302</v>
      </c>
      <c r="B1296" s="4">
        <v>298</v>
      </c>
      <c r="C1296" s="2" t="s">
        <v>2307</v>
      </c>
      <c r="D1296" s="2" t="s">
        <v>2</v>
      </c>
      <c r="E1296" s="5" t="s">
        <v>409</v>
      </c>
      <c r="F1296" s="2">
        <v>296</v>
      </c>
    </row>
    <row r="1297" spans="1:6" x14ac:dyDescent="0.2">
      <c r="A1297" s="6" t="s">
        <v>47</v>
      </c>
      <c r="B1297" s="4">
        <v>42</v>
      </c>
      <c r="C1297" s="2" t="s">
        <v>2309</v>
      </c>
      <c r="D1297" s="2" t="s">
        <v>3</v>
      </c>
      <c r="E1297" s="5" t="s">
        <v>411</v>
      </c>
      <c r="F1297" s="2">
        <v>259</v>
      </c>
    </row>
    <row r="1298" spans="1:6" x14ac:dyDescent="0.2">
      <c r="A1298" s="6" t="s">
        <v>238</v>
      </c>
      <c r="B1298" s="4">
        <v>234</v>
      </c>
      <c r="C1298" s="2" t="s">
        <v>2308</v>
      </c>
      <c r="D1298" s="2" t="s">
        <v>3</v>
      </c>
      <c r="E1298" s="7" t="s">
        <v>410</v>
      </c>
      <c r="F1298" s="2">
        <v>263</v>
      </c>
    </row>
    <row r="1299" spans="1:6" x14ac:dyDescent="0.2">
      <c r="A1299" s="6" t="s">
        <v>337</v>
      </c>
      <c r="B1299" s="4">
        <v>333</v>
      </c>
      <c r="C1299" s="2" t="s">
        <v>2307</v>
      </c>
      <c r="D1299" s="2" t="s">
        <v>3</v>
      </c>
      <c r="E1299" s="5" t="s">
        <v>410</v>
      </c>
      <c r="F1299" s="2">
        <v>147</v>
      </c>
    </row>
    <row r="1300" spans="1:6" x14ac:dyDescent="0.2">
      <c r="A1300" s="6" t="s">
        <v>265</v>
      </c>
      <c r="B1300" s="4">
        <v>261</v>
      </c>
      <c r="C1300" s="2" t="s">
        <v>2308</v>
      </c>
      <c r="D1300" s="2" t="s">
        <v>4</v>
      </c>
      <c r="E1300" s="6" t="s">
        <v>408</v>
      </c>
      <c r="F1300" s="2">
        <v>138</v>
      </c>
    </row>
    <row r="1301" spans="1:6" x14ac:dyDescent="0.2">
      <c r="A1301" s="6" t="s">
        <v>304</v>
      </c>
      <c r="B1301" s="4">
        <v>300</v>
      </c>
      <c r="C1301" s="2" t="s">
        <v>2307</v>
      </c>
      <c r="D1301" s="2" t="s">
        <v>2</v>
      </c>
      <c r="E1301" s="5" t="s">
        <v>410</v>
      </c>
      <c r="F1301" s="2">
        <v>134</v>
      </c>
    </row>
    <row r="1302" spans="1:6" x14ac:dyDescent="0.2">
      <c r="A1302" s="6" t="s">
        <v>250</v>
      </c>
      <c r="B1302" s="4">
        <v>246</v>
      </c>
      <c r="C1302" s="2" t="s">
        <v>2308</v>
      </c>
      <c r="D1302" s="2" t="s">
        <v>4</v>
      </c>
      <c r="E1302" s="5" t="s">
        <v>410</v>
      </c>
      <c r="F1302" s="2">
        <v>183</v>
      </c>
    </row>
    <row r="1303" spans="1:6" x14ac:dyDescent="0.2">
      <c r="A1303" s="6" t="s">
        <v>251</v>
      </c>
      <c r="B1303" s="4">
        <v>247</v>
      </c>
      <c r="C1303" s="2" t="s">
        <v>2308</v>
      </c>
      <c r="D1303" s="2" t="s">
        <v>4</v>
      </c>
      <c r="E1303" s="6" t="s">
        <v>408</v>
      </c>
      <c r="F1303" s="2">
        <v>254</v>
      </c>
    </row>
    <row r="1304" spans="1:6" x14ac:dyDescent="0.2">
      <c r="A1304" s="6" t="s">
        <v>282</v>
      </c>
      <c r="B1304" s="4">
        <v>278</v>
      </c>
      <c r="C1304" s="2" t="s">
        <v>2308</v>
      </c>
      <c r="D1304" s="2" t="s">
        <v>5</v>
      </c>
      <c r="E1304" s="5" t="s">
        <v>410</v>
      </c>
      <c r="F1304" s="2">
        <v>209</v>
      </c>
    </row>
    <row r="1305" spans="1:6" x14ac:dyDescent="0.2">
      <c r="A1305" s="6" t="s">
        <v>30</v>
      </c>
      <c r="B1305" s="4">
        <v>25</v>
      </c>
      <c r="C1305" s="2" t="s">
        <v>2309</v>
      </c>
      <c r="D1305" s="2" t="s">
        <v>2</v>
      </c>
      <c r="E1305" s="5" t="s">
        <v>411</v>
      </c>
      <c r="F1305" s="2">
        <v>269</v>
      </c>
    </row>
    <row r="1306" spans="1:6" x14ac:dyDescent="0.2">
      <c r="A1306" s="6" t="s">
        <v>213</v>
      </c>
      <c r="B1306" s="4">
        <v>209</v>
      </c>
      <c r="C1306" s="2" t="s">
        <v>2308</v>
      </c>
      <c r="D1306" s="2" t="s">
        <v>2</v>
      </c>
      <c r="E1306" s="5" t="s">
        <v>412</v>
      </c>
      <c r="F1306" s="2">
        <v>164</v>
      </c>
    </row>
    <row r="1307" spans="1:6" x14ac:dyDescent="0.2">
      <c r="A1307" s="6" t="s">
        <v>309</v>
      </c>
      <c r="B1307" s="4">
        <v>305</v>
      </c>
      <c r="C1307" s="2" t="s">
        <v>2307</v>
      </c>
      <c r="D1307" s="2" t="s">
        <v>2</v>
      </c>
      <c r="E1307" s="5" t="s">
        <v>410</v>
      </c>
      <c r="F1307" s="2">
        <v>189</v>
      </c>
    </row>
    <row r="1308" spans="1:6" x14ac:dyDescent="0.2">
      <c r="A1308" s="6" t="s">
        <v>237</v>
      </c>
      <c r="B1308" s="4">
        <v>233</v>
      </c>
      <c r="C1308" s="2" t="s">
        <v>2308</v>
      </c>
      <c r="D1308" s="2" t="s">
        <v>3</v>
      </c>
      <c r="E1308" s="7" t="s">
        <v>409</v>
      </c>
      <c r="F1308" s="2">
        <v>201</v>
      </c>
    </row>
    <row r="1309" spans="1:6" x14ac:dyDescent="0.2">
      <c r="A1309" s="6" t="s">
        <v>338</v>
      </c>
      <c r="B1309" s="4">
        <v>334</v>
      </c>
      <c r="C1309" s="2" t="s">
        <v>2307</v>
      </c>
      <c r="D1309" s="2" t="s">
        <v>3</v>
      </c>
      <c r="E1309" s="5" t="s">
        <v>411</v>
      </c>
      <c r="F1309" s="2">
        <v>149</v>
      </c>
    </row>
    <row r="1310" spans="1:6" x14ac:dyDescent="0.2">
      <c r="A1310" s="6" t="s">
        <v>171</v>
      </c>
      <c r="B1310" s="4">
        <v>166</v>
      </c>
      <c r="C1310" s="2" t="s">
        <v>2310</v>
      </c>
      <c r="D1310" s="2" t="s">
        <v>4</v>
      </c>
      <c r="E1310" s="5" t="s">
        <v>412</v>
      </c>
      <c r="F1310" s="2">
        <v>206</v>
      </c>
    </row>
    <row r="1311" spans="1:6" x14ac:dyDescent="0.2">
      <c r="A1311" s="6" t="s">
        <v>156</v>
      </c>
      <c r="B1311" s="4">
        <v>151</v>
      </c>
      <c r="C1311" s="2" t="s">
        <v>2310</v>
      </c>
      <c r="D1311" s="2" t="s">
        <v>4</v>
      </c>
      <c r="E1311" s="5" t="s">
        <v>412</v>
      </c>
      <c r="F1311" s="2">
        <v>291</v>
      </c>
    </row>
    <row r="1312" spans="1:6" x14ac:dyDescent="0.2">
      <c r="A1312" s="6" t="s">
        <v>81</v>
      </c>
      <c r="B1312" s="4">
        <v>76</v>
      </c>
      <c r="C1312" s="2" t="s">
        <v>2309</v>
      </c>
      <c r="D1312" s="2" t="s">
        <v>5</v>
      </c>
      <c r="E1312" s="5" t="s">
        <v>411</v>
      </c>
      <c r="F1312" s="2">
        <v>147</v>
      </c>
    </row>
    <row r="1313" spans="1:6" x14ac:dyDescent="0.2">
      <c r="A1313" s="6" t="s">
        <v>182</v>
      </c>
      <c r="B1313" s="4">
        <v>177</v>
      </c>
      <c r="C1313" s="2" t="s">
        <v>2310</v>
      </c>
      <c r="D1313" s="2" t="s">
        <v>5</v>
      </c>
      <c r="E1313" s="7" t="s">
        <v>409</v>
      </c>
      <c r="F1313" s="2">
        <v>216</v>
      </c>
    </row>
    <row r="1314" spans="1:6" x14ac:dyDescent="0.2">
      <c r="A1314" s="6" t="s">
        <v>10</v>
      </c>
      <c r="B1314" s="4">
        <v>5</v>
      </c>
      <c r="C1314" s="2" t="s">
        <v>2309</v>
      </c>
      <c r="D1314" s="2" t="s">
        <v>2</v>
      </c>
      <c r="E1314" s="5" t="s">
        <v>411</v>
      </c>
      <c r="F1314" s="2">
        <v>278</v>
      </c>
    </row>
    <row r="1315" spans="1:6" x14ac:dyDescent="0.2">
      <c r="A1315" s="6" t="s">
        <v>96</v>
      </c>
      <c r="B1315" s="4">
        <v>91</v>
      </c>
      <c r="C1315" s="2" t="s">
        <v>2309</v>
      </c>
      <c r="D1315" s="2" t="s">
        <v>5</v>
      </c>
      <c r="E1315" s="5" t="s">
        <v>409</v>
      </c>
      <c r="F1315" s="2">
        <v>177</v>
      </c>
    </row>
    <row r="1316" spans="1:6" x14ac:dyDescent="0.2">
      <c r="A1316" s="6" t="s">
        <v>210</v>
      </c>
      <c r="B1316" s="4">
        <v>206</v>
      </c>
      <c r="C1316" s="2" t="s">
        <v>2308</v>
      </c>
      <c r="D1316" s="2" t="s">
        <v>2</v>
      </c>
      <c r="E1316" s="5" t="s">
        <v>410</v>
      </c>
      <c r="F1316" s="2">
        <v>270</v>
      </c>
    </row>
    <row r="1317" spans="1:6" x14ac:dyDescent="0.2">
      <c r="A1317" s="6" t="s">
        <v>13</v>
      </c>
      <c r="B1317" s="4">
        <v>8</v>
      </c>
      <c r="C1317" s="2" t="s">
        <v>2309</v>
      </c>
      <c r="D1317" s="2" t="s">
        <v>2</v>
      </c>
      <c r="E1317" s="5" t="s">
        <v>411</v>
      </c>
      <c r="F1317" s="2">
        <v>129</v>
      </c>
    </row>
    <row r="1318" spans="1:6" x14ac:dyDescent="0.2">
      <c r="A1318" s="6" t="s">
        <v>337</v>
      </c>
      <c r="B1318" s="4">
        <v>333</v>
      </c>
      <c r="C1318" s="2" t="s">
        <v>2307</v>
      </c>
      <c r="D1318" s="2" t="s">
        <v>3</v>
      </c>
      <c r="E1318" s="5" t="s">
        <v>408</v>
      </c>
      <c r="F1318" s="2">
        <v>230</v>
      </c>
    </row>
    <row r="1319" spans="1:6" x14ac:dyDescent="0.2">
      <c r="A1319" s="6" t="s">
        <v>208</v>
      </c>
      <c r="B1319" s="4">
        <v>204</v>
      </c>
      <c r="C1319" s="2" t="s">
        <v>2308</v>
      </c>
      <c r="D1319" s="2" t="s">
        <v>2</v>
      </c>
      <c r="E1319" s="5" t="s">
        <v>409</v>
      </c>
      <c r="F1319" s="2">
        <v>297</v>
      </c>
    </row>
    <row r="1320" spans="1:6" x14ac:dyDescent="0.2">
      <c r="A1320" s="6" t="s">
        <v>362</v>
      </c>
      <c r="B1320" s="4">
        <v>358</v>
      </c>
      <c r="C1320" s="2" t="s">
        <v>2307</v>
      </c>
      <c r="D1320" s="2" t="s">
        <v>4</v>
      </c>
      <c r="E1320" s="5" t="s">
        <v>408</v>
      </c>
      <c r="F1320" s="2">
        <v>227</v>
      </c>
    </row>
    <row r="1321" spans="1:6" x14ac:dyDescent="0.2">
      <c r="A1321" s="6" t="s">
        <v>367</v>
      </c>
      <c r="B1321" s="4">
        <v>363</v>
      </c>
      <c r="C1321" s="2" t="s">
        <v>2307</v>
      </c>
      <c r="D1321" s="2" t="s">
        <v>4</v>
      </c>
      <c r="E1321" s="5" t="s">
        <v>411</v>
      </c>
      <c r="F1321" s="2">
        <v>280</v>
      </c>
    </row>
    <row r="1322" spans="1:6" x14ac:dyDescent="0.2">
      <c r="A1322" s="6" t="s">
        <v>378</v>
      </c>
      <c r="B1322" s="4">
        <v>374</v>
      </c>
      <c r="C1322" s="2" t="s">
        <v>2307</v>
      </c>
      <c r="D1322" s="2" t="s">
        <v>4</v>
      </c>
      <c r="E1322" s="5" t="s">
        <v>409</v>
      </c>
      <c r="F1322" s="2">
        <v>181</v>
      </c>
    </row>
    <row r="1323" spans="1:6" x14ac:dyDescent="0.2">
      <c r="A1323" s="6" t="s">
        <v>92</v>
      </c>
      <c r="B1323" s="4">
        <v>87</v>
      </c>
      <c r="C1323" s="2" t="s">
        <v>2309</v>
      </c>
      <c r="D1323" s="2" t="s">
        <v>5</v>
      </c>
      <c r="E1323" s="5" t="s">
        <v>410</v>
      </c>
      <c r="F1323" s="2">
        <v>219</v>
      </c>
    </row>
    <row r="1324" spans="1:6" x14ac:dyDescent="0.2">
      <c r="A1324" s="6" t="s">
        <v>229</v>
      </c>
      <c r="B1324" s="4">
        <v>225</v>
      </c>
      <c r="C1324" s="2" t="s">
        <v>2308</v>
      </c>
      <c r="D1324" s="2" t="s">
        <v>3</v>
      </c>
      <c r="E1324" s="7" t="s">
        <v>410</v>
      </c>
      <c r="F1324" s="2">
        <v>244</v>
      </c>
    </row>
    <row r="1325" spans="1:6" x14ac:dyDescent="0.2">
      <c r="A1325" s="6" t="s">
        <v>326</v>
      </c>
      <c r="B1325" s="4">
        <v>322</v>
      </c>
      <c r="C1325" s="2" t="s">
        <v>2307</v>
      </c>
      <c r="D1325" s="2" t="s">
        <v>2</v>
      </c>
      <c r="E1325" s="5" t="s">
        <v>409</v>
      </c>
      <c r="F1325" s="2">
        <v>203</v>
      </c>
    </row>
    <row r="1326" spans="1:6" x14ac:dyDescent="0.2">
      <c r="A1326" s="6" t="s">
        <v>6</v>
      </c>
      <c r="B1326" s="4">
        <v>1</v>
      </c>
      <c r="C1326" s="2" t="s">
        <v>2309</v>
      </c>
      <c r="D1326" s="2" t="s">
        <v>2</v>
      </c>
      <c r="E1326" s="5" t="s">
        <v>411</v>
      </c>
      <c r="F1326" s="2">
        <v>217</v>
      </c>
    </row>
    <row r="1327" spans="1:6" x14ac:dyDescent="0.2">
      <c r="A1327" s="6" t="s">
        <v>317</v>
      </c>
      <c r="B1327" s="4">
        <v>313</v>
      </c>
      <c r="C1327" s="2" t="s">
        <v>2307</v>
      </c>
      <c r="D1327" s="2" t="s">
        <v>2</v>
      </c>
      <c r="E1327" s="5" t="s">
        <v>412</v>
      </c>
      <c r="F1327" s="2">
        <v>271</v>
      </c>
    </row>
    <row r="1328" spans="1:6" x14ac:dyDescent="0.2">
      <c r="A1328" s="6" t="s">
        <v>368</v>
      </c>
      <c r="B1328" s="4">
        <v>364</v>
      </c>
      <c r="C1328" s="2" t="s">
        <v>2307</v>
      </c>
      <c r="D1328" s="2" t="s">
        <v>4</v>
      </c>
      <c r="E1328" s="5" t="s">
        <v>409</v>
      </c>
      <c r="F1328" s="2">
        <v>172</v>
      </c>
    </row>
    <row r="1329" spans="1:6" x14ac:dyDescent="0.2">
      <c r="A1329" s="6" t="s">
        <v>242</v>
      </c>
      <c r="B1329" s="4">
        <v>238</v>
      </c>
      <c r="C1329" s="2" t="s">
        <v>2308</v>
      </c>
      <c r="D1329" s="2" t="s">
        <v>3</v>
      </c>
      <c r="E1329" s="5" t="s">
        <v>412</v>
      </c>
      <c r="F1329" s="2">
        <v>259</v>
      </c>
    </row>
    <row r="1330" spans="1:6" x14ac:dyDescent="0.2">
      <c r="A1330" s="6" t="s">
        <v>42</v>
      </c>
      <c r="B1330" s="4">
        <v>37</v>
      </c>
      <c r="C1330" s="2" t="s">
        <v>2309</v>
      </c>
      <c r="D1330" s="2" t="s">
        <v>3</v>
      </c>
      <c r="E1330" s="5" t="s">
        <v>409</v>
      </c>
      <c r="F1330" s="2">
        <v>224</v>
      </c>
    </row>
    <row r="1331" spans="1:6" x14ac:dyDescent="0.2">
      <c r="A1331" s="6" t="s">
        <v>141</v>
      </c>
      <c r="B1331" s="4">
        <v>136</v>
      </c>
      <c r="C1331" s="2" t="s">
        <v>2310</v>
      </c>
      <c r="D1331" s="2" t="s">
        <v>3</v>
      </c>
      <c r="E1331" s="5" t="s">
        <v>412</v>
      </c>
      <c r="F1331" s="2">
        <v>280</v>
      </c>
    </row>
    <row r="1332" spans="1:6" x14ac:dyDescent="0.2">
      <c r="A1332" s="6" t="s">
        <v>242</v>
      </c>
      <c r="B1332" s="4">
        <v>238</v>
      </c>
      <c r="C1332" s="2" t="s">
        <v>2308</v>
      </c>
      <c r="D1332" s="2" t="s">
        <v>3</v>
      </c>
      <c r="E1332" s="7" t="s">
        <v>409</v>
      </c>
      <c r="F1332" s="2">
        <v>161</v>
      </c>
    </row>
    <row r="1333" spans="1:6" x14ac:dyDescent="0.2">
      <c r="A1333" s="6" t="s">
        <v>55</v>
      </c>
      <c r="B1333" s="4">
        <v>50</v>
      </c>
      <c r="C1333" s="2" t="s">
        <v>2309</v>
      </c>
      <c r="D1333" s="2" t="s">
        <v>3</v>
      </c>
      <c r="E1333" s="5" t="s">
        <v>410</v>
      </c>
      <c r="F1333" s="2">
        <v>145</v>
      </c>
    </row>
    <row r="1334" spans="1:6" x14ac:dyDescent="0.2">
      <c r="A1334" s="6" t="s">
        <v>165</v>
      </c>
      <c r="B1334" s="4">
        <v>160</v>
      </c>
      <c r="C1334" s="2" t="s">
        <v>2310</v>
      </c>
      <c r="D1334" s="2" t="s">
        <v>4</v>
      </c>
      <c r="E1334" s="7" t="s">
        <v>409</v>
      </c>
      <c r="F1334" s="2">
        <v>141</v>
      </c>
    </row>
    <row r="1335" spans="1:6" x14ac:dyDescent="0.2">
      <c r="A1335" s="6" t="s">
        <v>309</v>
      </c>
      <c r="B1335" s="4">
        <v>305</v>
      </c>
      <c r="C1335" s="2" t="s">
        <v>2307</v>
      </c>
      <c r="D1335" s="2" t="s">
        <v>2</v>
      </c>
      <c r="E1335" s="5" t="s">
        <v>412</v>
      </c>
      <c r="F1335" s="2">
        <v>146</v>
      </c>
    </row>
    <row r="1336" spans="1:6" x14ac:dyDescent="0.2">
      <c r="A1336" s="6" t="s">
        <v>282</v>
      </c>
      <c r="B1336" s="4">
        <v>278</v>
      </c>
      <c r="C1336" s="2" t="s">
        <v>2308</v>
      </c>
      <c r="D1336" s="2" t="s">
        <v>5</v>
      </c>
      <c r="E1336" s="6" t="s">
        <v>408</v>
      </c>
      <c r="F1336" s="2">
        <v>178</v>
      </c>
    </row>
    <row r="1337" spans="1:6" x14ac:dyDescent="0.2">
      <c r="A1337" s="6" t="s">
        <v>403</v>
      </c>
      <c r="B1337" s="4">
        <v>399</v>
      </c>
      <c r="C1337" s="2" t="s">
        <v>2307</v>
      </c>
      <c r="D1337" s="2" t="s">
        <v>5</v>
      </c>
      <c r="E1337" s="5" t="s">
        <v>411</v>
      </c>
      <c r="F1337" s="2">
        <v>246</v>
      </c>
    </row>
    <row r="1338" spans="1:6" x14ac:dyDescent="0.2">
      <c r="A1338" s="6" t="s">
        <v>304</v>
      </c>
      <c r="B1338" s="4">
        <v>300</v>
      </c>
      <c r="C1338" s="2" t="s">
        <v>2307</v>
      </c>
      <c r="D1338" s="2" t="s">
        <v>2</v>
      </c>
      <c r="E1338" s="5" t="s">
        <v>409</v>
      </c>
      <c r="F1338" s="2">
        <v>130</v>
      </c>
    </row>
    <row r="1339" spans="1:6" x14ac:dyDescent="0.2">
      <c r="A1339" s="6" t="s">
        <v>158</v>
      </c>
      <c r="B1339" s="4">
        <v>153</v>
      </c>
      <c r="C1339" s="2" t="s">
        <v>2310</v>
      </c>
      <c r="D1339" s="2" t="s">
        <v>4</v>
      </c>
      <c r="E1339" s="5" t="s">
        <v>410</v>
      </c>
      <c r="F1339" s="2">
        <v>232</v>
      </c>
    </row>
    <row r="1340" spans="1:6" x14ac:dyDescent="0.2">
      <c r="A1340" s="6" t="s">
        <v>70</v>
      </c>
      <c r="B1340" s="4">
        <v>65</v>
      </c>
      <c r="C1340" s="2" t="s">
        <v>2309</v>
      </c>
      <c r="D1340" s="2" t="s">
        <v>4</v>
      </c>
      <c r="E1340" s="5" t="s">
        <v>408</v>
      </c>
      <c r="F1340" s="2">
        <v>138</v>
      </c>
    </row>
    <row r="1341" spans="1:6" x14ac:dyDescent="0.2">
      <c r="A1341" s="6" t="s">
        <v>65</v>
      </c>
      <c r="B1341" s="4">
        <v>60</v>
      </c>
      <c r="C1341" s="2" t="s">
        <v>2309</v>
      </c>
      <c r="D1341" s="2" t="s">
        <v>4</v>
      </c>
      <c r="E1341" s="5" t="s">
        <v>411</v>
      </c>
      <c r="F1341" s="2">
        <v>191</v>
      </c>
    </row>
    <row r="1342" spans="1:6" x14ac:dyDescent="0.2">
      <c r="A1342" s="6" t="s">
        <v>209</v>
      </c>
      <c r="B1342" s="4">
        <v>205</v>
      </c>
      <c r="C1342" s="2" t="s">
        <v>2308</v>
      </c>
      <c r="D1342" s="2" t="s">
        <v>2</v>
      </c>
      <c r="E1342" s="5" t="s">
        <v>410</v>
      </c>
      <c r="F1342" s="2">
        <v>292</v>
      </c>
    </row>
    <row r="1343" spans="1:6" x14ac:dyDescent="0.2">
      <c r="A1343" s="6" t="s">
        <v>29</v>
      </c>
      <c r="B1343" s="4">
        <v>188</v>
      </c>
      <c r="C1343" s="2" t="s">
        <v>2310</v>
      </c>
      <c r="D1343" s="2" t="s">
        <v>5</v>
      </c>
      <c r="E1343" s="5" t="s">
        <v>411</v>
      </c>
      <c r="F1343" s="2">
        <v>173</v>
      </c>
    </row>
    <row r="1344" spans="1:6" x14ac:dyDescent="0.2">
      <c r="A1344" s="6" t="s">
        <v>201</v>
      </c>
      <c r="B1344" s="4">
        <v>197</v>
      </c>
      <c r="C1344" s="2" t="s">
        <v>2308</v>
      </c>
      <c r="D1344" s="2" t="s">
        <v>2</v>
      </c>
      <c r="E1344" s="6" t="s">
        <v>408</v>
      </c>
      <c r="F1344" s="2">
        <v>298</v>
      </c>
    </row>
    <row r="1345" spans="1:6" x14ac:dyDescent="0.2">
      <c r="A1345" s="6" t="s">
        <v>96</v>
      </c>
      <c r="B1345" s="4">
        <v>91</v>
      </c>
      <c r="C1345" s="2" t="s">
        <v>2309</v>
      </c>
      <c r="D1345" s="2" t="s">
        <v>5</v>
      </c>
      <c r="E1345" s="5" t="s">
        <v>412</v>
      </c>
      <c r="F1345" s="2">
        <v>151</v>
      </c>
    </row>
    <row r="1346" spans="1:6" x14ac:dyDescent="0.2">
      <c r="A1346" s="6" t="s">
        <v>27</v>
      </c>
      <c r="B1346" s="4">
        <v>22</v>
      </c>
      <c r="C1346" s="2" t="s">
        <v>2309</v>
      </c>
      <c r="D1346" s="2" t="s">
        <v>2</v>
      </c>
      <c r="E1346" s="5" t="s">
        <v>409</v>
      </c>
      <c r="F1346" s="2">
        <v>296</v>
      </c>
    </row>
    <row r="1347" spans="1:6" x14ac:dyDescent="0.2">
      <c r="A1347" s="6" t="s">
        <v>395</v>
      </c>
      <c r="B1347" s="4">
        <v>391</v>
      </c>
      <c r="C1347" s="2" t="s">
        <v>2307</v>
      </c>
      <c r="D1347" s="2" t="s">
        <v>5</v>
      </c>
      <c r="E1347" s="5" t="s">
        <v>411</v>
      </c>
      <c r="F1347" s="2">
        <v>300</v>
      </c>
    </row>
    <row r="1348" spans="1:6" x14ac:dyDescent="0.2">
      <c r="A1348" s="6" t="s">
        <v>6</v>
      </c>
      <c r="B1348" s="4">
        <v>1</v>
      </c>
      <c r="C1348" s="2" t="s">
        <v>2309</v>
      </c>
      <c r="D1348" s="2" t="s">
        <v>2</v>
      </c>
      <c r="E1348" s="5" t="s">
        <v>408</v>
      </c>
      <c r="F1348" s="2">
        <v>280</v>
      </c>
    </row>
    <row r="1349" spans="1:6" x14ac:dyDescent="0.2">
      <c r="A1349" s="6" t="s">
        <v>157</v>
      </c>
      <c r="B1349" s="4">
        <v>152</v>
      </c>
      <c r="C1349" s="2" t="s">
        <v>2310</v>
      </c>
      <c r="D1349" s="2" t="s">
        <v>4</v>
      </c>
      <c r="E1349" s="6" t="s">
        <v>408</v>
      </c>
      <c r="F1349" s="2">
        <v>287</v>
      </c>
    </row>
    <row r="1350" spans="1:6" x14ac:dyDescent="0.2">
      <c r="A1350" s="6" t="s">
        <v>199</v>
      </c>
      <c r="B1350" s="4">
        <v>195</v>
      </c>
      <c r="C1350" s="2" t="s">
        <v>2308</v>
      </c>
      <c r="D1350" s="2" t="s">
        <v>2</v>
      </c>
      <c r="E1350" s="5" t="s">
        <v>410</v>
      </c>
      <c r="F1350" s="2">
        <v>138</v>
      </c>
    </row>
    <row r="1351" spans="1:6" x14ac:dyDescent="0.2">
      <c r="A1351" s="6" t="s">
        <v>30</v>
      </c>
      <c r="B1351" s="4">
        <v>25</v>
      </c>
      <c r="C1351" s="2" t="s">
        <v>2309</v>
      </c>
      <c r="D1351" s="2" t="s">
        <v>2</v>
      </c>
      <c r="E1351" s="5" t="s">
        <v>408</v>
      </c>
      <c r="F1351" s="2">
        <v>160</v>
      </c>
    </row>
    <row r="1352" spans="1:6" x14ac:dyDescent="0.2">
      <c r="A1352" s="6" t="s">
        <v>368</v>
      </c>
      <c r="B1352" s="4">
        <v>364</v>
      </c>
      <c r="C1352" s="2" t="s">
        <v>2307</v>
      </c>
      <c r="D1352" s="2" t="s">
        <v>4</v>
      </c>
      <c r="E1352" s="5" t="s">
        <v>411</v>
      </c>
      <c r="F1352" s="2">
        <v>250</v>
      </c>
    </row>
    <row r="1353" spans="1:6" x14ac:dyDescent="0.2">
      <c r="A1353" s="6" t="s">
        <v>127</v>
      </c>
      <c r="B1353" s="4">
        <v>122</v>
      </c>
      <c r="C1353" s="2" t="s">
        <v>2310</v>
      </c>
      <c r="D1353" s="2" t="s">
        <v>3</v>
      </c>
      <c r="E1353" s="5" t="s">
        <v>412</v>
      </c>
      <c r="F1353" s="2">
        <v>227</v>
      </c>
    </row>
    <row r="1354" spans="1:6" x14ac:dyDescent="0.2">
      <c r="A1354" s="6" t="s">
        <v>28</v>
      </c>
      <c r="B1354" s="4">
        <v>23</v>
      </c>
      <c r="C1354" s="2" t="s">
        <v>2309</v>
      </c>
      <c r="D1354" s="2" t="s">
        <v>2</v>
      </c>
      <c r="E1354" s="5" t="s">
        <v>409</v>
      </c>
      <c r="F1354" s="2">
        <v>198</v>
      </c>
    </row>
    <row r="1355" spans="1:6" x14ac:dyDescent="0.2">
      <c r="A1355" s="6" t="s">
        <v>222</v>
      </c>
      <c r="B1355" s="4">
        <v>218</v>
      </c>
      <c r="C1355" s="2" t="s">
        <v>2308</v>
      </c>
      <c r="D1355" s="2" t="s">
        <v>3</v>
      </c>
      <c r="E1355" s="7" t="s">
        <v>410</v>
      </c>
      <c r="F1355" s="2">
        <v>270</v>
      </c>
    </row>
    <row r="1356" spans="1:6" x14ac:dyDescent="0.2">
      <c r="A1356" s="6" t="s">
        <v>252</v>
      </c>
      <c r="B1356" s="4">
        <v>248</v>
      </c>
      <c r="C1356" s="2" t="s">
        <v>2308</v>
      </c>
      <c r="D1356" s="2" t="s">
        <v>4</v>
      </c>
      <c r="E1356" s="5" t="s">
        <v>411</v>
      </c>
      <c r="F1356" s="2">
        <v>130</v>
      </c>
    </row>
    <row r="1357" spans="1:6" x14ac:dyDescent="0.2">
      <c r="A1357" s="6" t="s">
        <v>30</v>
      </c>
      <c r="B1357" s="4">
        <v>25</v>
      </c>
      <c r="C1357" s="2" t="s">
        <v>2309</v>
      </c>
      <c r="D1357" s="2" t="s">
        <v>2</v>
      </c>
      <c r="E1357" s="5" t="s">
        <v>410</v>
      </c>
      <c r="F1357" s="2">
        <v>266</v>
      </c>
    </row>
    <row r="1358" spans="1:6" x14ac:dyDescent="0.2">
      <c r="A1358" s="6" t="s">
        <v>190</v>
      </c>
      <c r="B1358" s="4">
        <v>185</v>
      </c>
      <c r="C1358" s="2" t="s">
        <v>2310</v>
      </c>
      <c r="D1358" s="2" t="s">
        <v>5</v>
      </c>
      <c r="E1358" s="7" t="s">
        <v>409</v>
      </c>
      <c r="F1358" s="2">
        <v>184</v>
      </c>
    </row>
    <row r="1359" spans="1:6" x14ac:dyDescent="0.2">
      <c r="A1359" s="6" t="s">
        <v>231</v>
      </c>
      <c r="B1359" s="4">
        <v>227</v>
      </c>
      <c r="C1359" s="2" t="s">
        <v>2308</v>
      </c>
      <c r="D1359" s="2" t="s">
        <v>3</v>
      </c>
      <c r="E1359" s="7" t="s">
        <v>411</v>
      </c>
      <c r="F1359" s="2">
        <v>145</v>
      </c>
    </row>
    <row r="1360" spans="1:6" x14ac:dyDescent="0.2">
      <c r="A1360" s="6" t="s">
        <v>197</v>
      </c>
      <c r="B1360" s="4">
        <v>193</v>
      </c>
      <c r="C1360" s="2" t="s">
        <v>2308</v>
      </c>
      <c r="D1360" s="2" t="s">
        <v>2</v>
      </c>
      <c r="E1360" s="5" t="s">
        <v>412</v>
      </c>
      <c r="F1360" s="2">
        <v>266</v>
      </c>
    </row>
    <row r="1361" spans="1:6" x14ac:dyDescent="0.2">
      <c r="A1361" s="6" t="s">
        <v>32</v>
      </c>
      <c r="B1361" s="4">
        <v>27</v>
      </c>
      <c r="C1361" s="2" t="s">
        <v>2309</v>
      </c>
      <c r="D1361" s="2" t="s">
        <v>2</v>
      </c>
      <c r="E1361" s="5" t="s">
        <v>409</v>
      </c>
      <c r="F1361" s="2">
        <v>223</v>
      </c>
    </row>
    <row r="1362" spans="1:6" x14ac:dyDescent="0.2">
      <c r="A1362" s="6" t="s">
        <v>247</v>
      </c>
      <c r="B1362" s="4">
        <v>243</v>
      </c>
      <c r="C1362" s="2" t="s">
        <v>2308</v>
      </c>
      <c r="D1362" s="2" t="s">
        <v>4</v>
      </c>
      <c r="E1362" s="5" t="s">
        <v>410</v>
      </c>
      <c r="F1362" s="2">
        <v>174</v>
      </c>
    </row>
    <row r="1363" spans="1:6" x14ac:dyDescent="0.2">
      <c r="A1363" s="6" t="s">
        <v>144</v>
      </c>
      <c r="B1363" s="4">
        <v>139</v>
      </c>
      <c r="C1363" s="2" t="s">
        <v>2310</v>
      </c>
      <c r="D1363" s="2" t="s">
        <v>3</v>
      </c>
      <c r="E1363" s="5" t="s">
        <v>412</v>
      </c>
      <c r="F1363" s="2">
        <v>222</v>
      </c>
    </row>
    <row r="1364" spans="1:6" x14ac:dyDescent="0.2">
      <c r="A1364" s="6" t="s">
        <v>321</v>
      </c>
      <c r="B1364" s="4">
        <v>317</v>
      </c>
      <c r="C1364" s="2" t="s">
        <v>2307</v>
      </c>
      <c r="D1364" s="2" t="s">
        <v>2</v>
      </c>
      <c r="E1364" s="5" t="s">
        <v>409</v>
      </c>
      <c r="F1364" s="2">
        <v>261</v>
      </c>
    </row>
    <row r="1365" spans="1:6" x14ac:dyDescent="0.2">
      <c r="A1365" s="6" t="s">
        <v>45</v>
      </c>
      <c r="B1365" s="4">
        <v>40</v>
      </c>
      <c r="C1365" s="2" t="s">
        <v>2309</v>
      </c>
      <c r="D1365" s="2" t="s">
        <v>3</v>
      </c>
      <c r="E1365" s="5" t="s">
        <v>412</v>
      </c>
      <c r="F1365" s="2">
        <v>250</v>
      </c>
    </row>
    <row r="1366" spans="1:6" x14ac:dyDescent="0.2">
      <c r="A1366" s="6" t="s">
        <v>220</v>
      </c>
      <c r="B1366" s="4">
        <v>216</v>
      </c>
      <c r="C1366" s="2" t="s">
        <v>2308</v>
      </c>
      <c r="D1366" s="2" t="s">
        <v>3</v>
      </c>
      <c r="E1366" s="6" t="s">
        <v>408</v>
      </c>
      <c r="F1366" s="2">
        <v>278</v>
      </c>
    </row>
    <row r="1367" spans="1:6" x14ac:dyDescent="0.2">
      <c r="A1367" s="6" t="s">
        <v>195</v>
      </c>
      <c r="B1367" s="4">
        <v>191</v>
      </c>
      <c r="C1367" s="2" t="s">
        <v>2310</v>
      </c>
      <c r="D1367" s="2" t="s">
        <v>5</v>
      </c>
      <c r="E1367" s="7" t="s">
        <v>409</v>
      </c>
      <c r="F1367" s="2">
        <v>125</v>
      </c>
    </row>
    <row r="1368" spans="1:6" x14ac:dyDescent="0.2">
      <c r="A1368" s="6" t="s">
        <v>192</v>
      </c>
      <c r="B1368" s="4">
        <v>187</v>
      </c>
      <c r="C1368" s="2" t="s">
        <v>2310</v>
      </c>
      <c r="D1368" s="2" t="s">
        <v>5</v>
      </c>
      <c r="E1368" s="5" t="s">
        <v>412</v>
      </c>
      <c r="F1368" s="2">
        <v>179</v>
      </c>
    </row>
    <row r="1369" spans="1:6" x14ac:dyDescent="0.2">
      <c r="A1369" s="6" t="s">
        <v>108</v>
      </c>
      <c r="B1369" s="4">
        <v>103</v>
      </c>
      <c r="C1369" s="2" t="s">
        <v>2310</v>
      </c>
      <c r="D1369" s="2" t="s">
        <v>2</v>
      </c>
      <c r="E1369" s="5" t="s">
        <v>408</v>
      </c>
      <c r="F1369" s="2">
        <v>245</v>
      </c>
    </row>
    <row r="1370" spans="1:6" x14ac:dyDescent="0.2">
      <c r="A1370" s="6" t="s">
        <v>165</v>
      </c>
      <c r="B1370" s="4">
        <v>160</v>
      </c>
      <c r="C1370" s="2" t="s">
        <v>2310</v>
      </c>
      <c r="D1370" s="2" t="s">
        <v>4</v>
      </c>
      <c r="E1370" s="5" t="s">
        <v>411</v>
      </c>
      <c r="F1370" s="2">
        <v>235</v>
      </c>
    </row>
    <row r="1371" spans="1:6" x14ac:dyDescent="0.2">
      <c r="A1371" s="6" t="s">
        <v>183</v>
      </c>
      <c r="B1371" s="4">
        <v>178</v>
      </c>
      <c r="C1371" s="2" t="s">
        <v>2310</v>
      </c>
      <c r="D1371" s="2" t="s">
        <v>5</v>
      </c>
      <c r="E1371" s="7" t="s">
        <v>409</v>
      </c>
      <c r="F1371" s="2">
        <v>150</v>
      </c>
    </row>
    <row r="1372" spans="1:6" x14ac:dyDescent="0.2">
      <c r="A1372" s="6" t="s">
        <v>26</v>
      </c>
      <c r="B1372" s="4">
        <v>21</v>
      </c>
      <c r="C1372" s="2" t="s">
        <v>2309</v>
      </c>
      <c r="D1372" s="2" t="s">
        <v>2</v>
      </c>
      <c r="E1372" s="5" t="s">
        <v>412</v>
      </c>
      <c r="F1372" s="2">
        <v>272</v>
      </c>
    </row>
    <row r="1373" spans="1:6" x14ac:dyDescent="0.2">
      <c r="A1373" s="6" t="s">
        <v>107</v>
      </c>
      <c r="B1373" s="4">
        <v>102</v>
      </c>
      <c r="C1373" s="2" t="s">
        <v>2310</v>
      </c>
      <c r="D1373" s="2" t="s">
        <v>2</v>
      </c>
      <c r="E1373" s="5" t="s">
        <v>410</v>
      </c>
      <c r="F1373" s="2">
        <v>226</v>
      </c>
    </row>
    <row r="1374" spans="1:6" x14ac:dyDescent="0.2">
      <c r="A1374" s="6" t="s">
        <v>75</v>
      </c>
      <c r="B1374" s="4">
        <v>70</v>
      </c>
      <c r="C1374" s="2" t="s">
        <v>2309</v>
      </c>
      <c r="D1374" s="2" t="s">
        <v>4</v>
      </c>
      <c r="E1374" s="5" t="s">
        <v>412</v>
      </c>
      <c r="F1374" s="2">
        <v>280</v>
      </c>
    </row>
    <row r="1375" spans="1:6" x14ac:dyDescent="0.2">
      <c r="A1375" s="6" t="s">
        <v>147</v>
      </c>
      <c r="B1375" s="4">
        <v>142</v>
      </c>
      <c r="C1375" s="2" t="s">
        <v>2310</v>
      </c>
      <c r="D1375" s="2" t="s">
        <v>4</v>
      </c>
      <c r="E1375" s="6" t="s">
        <v>408</v>
      </c>
      <c r="F1375" s="2">
        <v>163</v>
      </c>
    </row>
    <row r="1376" spans="1:6" x14ac:dyDescent="0.2">
      <c r="A1376" s="6" t="s">
        <v>224</v>
      </c>
      <c r="B1376" s="4">
        <v>220</v>
      </c>
      <c r="C1376" s="2" t="s">
        <v>2308</v>
      </c>
      <c r="D1376" s="2" t="s">
        <v>3</v>
      </c>
      <c r="E1376" s="5" t="s">
        <v>412</v>
      </c>
      <c r="F1376" s="2">
        <v>194</v>
      </c>
    </row>
    <row r="1377" spans="1:6" x14ac:dyDescent="0.2">
      <c r="A1377" s="6" t="s">
        <v>266</v>
      </c>
      <c r="B1377" s="4">
        <v>262</v>
      </c>
      <c r="C1377" s="2" t="s">
        <v>2308</v>
      </c>
      <c r="D1377" s="2" t="s">
        <v>4</v>
      </c>
      <c r="E1377" s="7" t="s">
        <v>409</v>
      </c>
      <c r="F1377" s="2">
        <v>167</v>
      </c>
    </row>
    <row r="1378" spans="1:6" x14ac:dyDescent="0.2">
      <c r="A1378" s="6" t="s">
        <v>257</v>
      </c>
      <c r="B1378" s="4">
        <v>253</v>
      </c>
      <c r="C1378" s="2" t="s">
        <v>2308</v>
      </c>
      <c r="D1378" s="2" t="s">
        <v>4</v>
      </c>
      <c r="E1378" s="5" t="s">
        <v>410</v>
      </c>
      <c r="F1378" s="2">
        <v>266</v>
      </c>
    </row>
    <row r="1379" spans="1:6" x14ac:dyDescent="0.2">
      <c r="A1379" s="6" t="s">
        <v>90</v>
      </c>
      <c r="B1379" s="4">
        <v>85</v>
      </c>
      <c r="C1379" s="2" t="s">
        <v>2309</v>
      </c>
      <c r="D1379" s="2" t="s">
        <v>5</v>
      </c>
      <c r="E1379" s="5" t="s">
        <v>408</v>
      </c>
      <c r="F1379" s="2">
        <v>160</v>
      </c>
    </row>
    <row r="1380" spans="1:6" x14ac:dyDescent="0.2">
      <c r="A1380" s="6" t="s">
        <v>60</v>
      </c>
      <c r="B1380" s="4">
        <v>55</v>
      </c>
      <c r="C1380" s="2" t="s">
        <v>2309</v>
      </c>
      <c r="D1380" s="2" t="s">
        <v>4</v>
      </c>
      <c r="E1380" s="5" t="s">
        <v>412</v>
      </c>
      <c r="F1380" s="2">
        <v>197</v>
      </c>
    </row>
    <row r="1381" spans="1:6" x14ac:dyDescent="0.2">
      <c r="A1381" s="6" t="s">
        <v>233</v>
      </c>
      <c r="B1381" s="4">
        <v>229</v>
      </c>
      <c r="C1381" s="2" t="s">
        <v>2308</v>
      </c>
      <c r="D1381" s="2" t="s">
        <v>3</v>
      </c>
      <c r="E1381" s="7" t="s">
        <v>411</v>
      </c>
      <c r="F1381" s="2">
        <v>293</v>
      </c>
    </row>
    <row r="1382" spans="1:6" x14ac:dyDescent="0.2">
      <c r="A1382" s="6" t="s">
        <v>387</v>
      </c>
      <c r="B1382" s="4">
        <v>383</v>
      </c>
      <c r="C1382" s="2" t="s">
        <v>2307</v>
      </c>
      <c r="D1382" s="2" t="s">
        <v>5</v>
      </c>
      <c r="E1382" s="5" t="s">
        <v>410</v>
      </c>
      <c r="F1382" s="2">
        <v>294</v>
      </c>
    </row>
    <row r="1383" spans="1:6" x14ac:dyDescent="0.2">
      <c r="A1383" s="6" t="s">
        <v>79</v>
      </c>
      <c r="B1383" s="4">
        <v>74</v>
      </c>
      <c r="C1383" s="2" t="s">
        <v>2309</v>
      </c>
      <c r="D1383" s="2" t="s">
        <v>5</v>
      </c>
      <c r="E1383" s="5" t="s">
        <v>412</v>
      </c>
      <c r="F1383" s="2">
        <v>148</v>
      </c>
    </row>
    <row r="1384" spans="1:6" x14ac:dyDescent="0.2">
      <c r="A1384" s="6" t="s">
        <v>173</v>
      </c>
      <c r="B1384" s="4">
        <v>168</v>
      </c>
      <c r="C1384" s="2" t="s">
        <v>2310</v>
      </c>
      <c r="D1384" s="2" t="s">
        <v>5</v>
      </c>
      <c r="E1384" s="7" t="s">
        <v>410</v>
      </c>
      <c r="F1384" s="2">
        <v>219</v>
      </c>
    </row>
    <row r="1385" spans="1:6" x14ac:dyDescent="0.2">
      <c r="A1385" s="6" t="s">
        <v>140</v>
      </c>
      <c r="B1385" s="4">
        <v>135</v>
      </c>
      <c r="C1385" s="2" t="s">
        <v>2310</v>
      </c>
      <c r="D1385" s="2" t="s">
        <v>3</v>
      </c>
      <c r="E1385" s="5" t="s">
        <v>412</v>
      </c>
      <c r="F1385" s="2">
        <v>230</v>
      </c>
    </row>
    <row r="1386" spans="1:6" x14ac:dyDescent="0.2">
      <c r="A1386" s="6" t="s">
        <v>66</v>
      </c>
      <c r="B1386" s="4">
        <v>61</v>
      </c>
      <c r="C1386" s="2" t="s">
        <v>2309</v>
      </c>
      <c r="D1386" s="2" t="s">
        <v>4</v>
      </c>
      <c r="E1386" s="5" t="s">
        <v>410</v>
      </c>
      <c r="F1386" s="2">
        <v>196</v>
      </c>
    </row>
    <row r="1387" spans="1:6" x14ac:dyDescent="0.2">
      <c r="A1387" s="6" t="s">
        <v>81</v>
      </c>
      <c r="B1387" s="4">
        <v>76</v>
      </c>
      <c r="C1387" s="2" t="s">
        <v>2309</v>
      </c>
      <c r="D1387" s="2" t="s">
        <v>5</v>
      </c>
      <c r="E1387" s="5" t="s">
        <v>412</v>
      </c>
      <c r="F1387" s="2">
        <v>283</v>
      </c>
    </row>
    <row r="1388" spans="1:6" x14ac:dyDescent="0.2">
      <c r="A1388" s="6" t="s">
        <v>105</v>
      </c>
      <c r="B1388" s="4">
        <v>100</v>
      </c>
      <c r="C1388" s="2" t="s">
        <v>2310</v>
      </c>
      <c r="D1388" s="2" t="s">
        <v>2</v>
      </c>
      <c r="E1388" s="5" t="s">
        <v>409</v>
      </c>
      <c r="F1388" s="2">
        <v>216</v>
      </c>
    </row>
    <row r="1389" spans="1:6" x14ac:dyDescent="0.2">
      <c r="A1389" s="6" t="s">
        <v>101</v>
      </c>
      <c r="B1389" s="4">
        <v>96</v>
      </c>
      <c r="C1389" s="2" t="s">
        <v>2309</v>
      </c>
      <c r="D1389" s="2" t="s">
        <v>5</v>
      </c>
      <c r="E1389" s="5" t="s">
        <v>411</v>
      </c>
      <c r="F1389" s="2">
        <v>264</v>
      </c>
    </row>
    <row r="1390" spans="1:6" x14ac:dyDescent="0.2">
      <c r="A1390" s="6" t="s">
        <v>320</v>
      </c>
      <c r="B1390" s="4">
        <v>316</v>
      </c>
      <c r="C1390" s="2" t="s">
        <v>2307</v>
      </c>
      <c r="D1390" s="2" t="s">
        <v>2</v>
      </c>
      <c r="E1390" s="5" t="s">
        <v>412</v>
      </c>
      <c r="F1390" s="2">
        <v>211</v>
      </c>
    </row>
    <row r="1391" spans="1:6" x14ac:dyDescent="0.2">
      <c r="A1391" s="6" t="s">
        <v>136</v>
      </c>
      <c r="B1391" s="4">
        <v>131</v>
      </c>
      <c r="C1391" s="2" t="s">
        <v>2310</v>
      </c>
      <c r="D1391" s="2" t="s">
        <v>3</v>
      </c>
      <c r="E1391" s="7" t="s">
        <v>411</v>
      </c>
      <c r="F1391" s="2">
        <v>165</v>
      </c>
    </row>
    <row r="1392" spans="1:6" x14ac:dyDescent="0.2">
      <c r="A1392" s="6" t="s">
        <v>101</v>
      </c>
      <c r="B1392" s="4">
        <v>96</v>
      </c>
      <c r="C1392" s="2" t="s">
        <v>2309</v>
      </c>
      <c r="D1392" s="2" t="s">
        <v>5</v>
      </c>
      <c r="E1392" s="5" t="s">
        <v>409</v>
      </c>
      <c r="F1392" s="2">
        <v>254</v>
      </c>
    </row>
    <row r="1393" spans="1:6" x14ac:dyDescent="0.2">
      <c r="A1393" s="6" t="s">
        <v>93</v>
      </c>
      <c r="B1393" s="4">
        <v>88</v>
      </c>
      <c r="C1393" s="2" t="s">
        <v>2309</v>
      </c>
      <c r="D1393" s="2" t="s">
        <v>5</v>
      </c>
      <c r="E1393" s="5" t="s">
        <v>410</v>
      </c>
      <c r="F1393" s="2">
        <v>267</v>
      </c>
    </row>
    <row r="1394" spans="1:6" x14ac:dyDescent="0.2">
      <c r="A1394" s="6" t="s">
        <v>151</v>
      </c>
      <c r="B1394" s="4">
        <v>146</v>
      </c>
      <c r="C1394" s="2" t="s">
        <v>2310</v>
      </c>
      <c r="D1394" s="2" t="s">
        <v>4</v>
      </c>
      <c r="E1394" s="5" t="s">
        <v>412</v>
      </c>
      <c r="F1394" s="2">
        <v>250</v>
      </c>
    </row>
    <row r="1395" spans="1:6" x14ac:dyDescent="0.2">
      <c r="A1395" s="6" t="s">
        <v>68</v>
      </c>
      <c r="B1395" s="4">
        <v>63</v>
      </c>
      <c r="C1395" s="2" t="s">
        <v>2309</v>
      </c>
      <c r="D1395" s="2" t="s">
        <v>4</v>
      </c>
      <c r="E1395" s="5" t="s">
        <v>411</v>
      </c>
      <c r="F1395" s="2">
        <v>191</v>
      </c>
    </row>
    <row r="1396" spans="1:6" x14ac:dyDescent="0.2">
      <c r="A1396" s="6" t="s">
        <v>375</v>
      </c>
      <c r="B1396" s="4">
        <v>371</v>
      </c>
      <c r="C1396" s="2" t="s">
        <v>2307</v>
      </c>
      <c r="D1396" s="2" t="s">
        <v>4</v>
      </c>
      <c r="E1396" s="5" t="s">
        <v>408</v>
      </c>
      <c r="F1396" s="2">
        <v>267</v>
      </c>
    </row>
    <row r="1397" spans="1:6" x14ac:dyDescent="0.2">
      <c r="A1397" s="6" t="s">
        <v>278</v>
      </c>
      <c r="B1397" s="4">
        <v>274</v>
      </c>
      <c r="C1397" s="2" t="s">
        <v>2308</v>
      </c>
      <c r="D1397" s="2" t="s">
        <v>5</v>
      </c>
      <c r="E1397" s="5" t="s">
        <v>412</v>
      </c>
      <c r="F1397" s="2">
        <v>216</v>
      </c>
    </row>
    <row r="1398" spans="1:6" x14ac:dyDescent="0.2">
      <c r="A1398" s="6" t="s">
        <v>228</v>
      </c>
      <c r="B1398" s="4">
        <v>224</v>
      </c>
      <c r="C1398" s="2" t="s">
        <v>2308</v>
      </c>
      <c r="D1398" s="2" t="s">
        <v>3</v>
      </c>
      <c r="E1398" s="7" t="s">
        <v>411</v>
      </c>
      <c r="F1398" s="2">
        <v>207</v>
      </c>
    </row>
    <row r="1399" spans="1:6" x14ac:dyDescent="0.2">
      <c r="A1399" s="6" t="s">
        <v>174</v>
      </c>
      <c r="B1399" s="4">
        <v>169</v>
      </c>
      <c r="C1399" s="2" t="s">
        <v>2310</v>
      </c>
      <c r="D1399" s="2" t="s">
        <v>5</v>
      </c>
      <c r="E1399" s="6" t="s">
        <v>408</v>
      </c>
      <c r="F1399" s="2">
        <v>191</v>
      </c>
    </row>
    <row r="1400" spans="1:6" x14ac:dyDescent="0.2">
      <c r="A1400" s="6" t="s">
        <v>116</v>
      </c>
      <c r="B1400" s="4">
        <v>111</v>
      </c>
      <c r="C1400" s="2" t="s">
        <v>2310</v>
      </c>
      <c r="D1400" s="2" t="s">
        <v>2</v>
      </c>
      <c r="E1400" s="5" t="s">
        <v>411</v>
      </c>
      <c r="F1400" s="2">
        <v>130</v>
      </c>
    </row>
    <row r="1401" spans="1:6" x14ac:dyDescent="0.2">
      <c r="A1401" s="6" t="s">
        <v>202</v>
      </c>
      <c r="B1401" s="4">
        <v>198</v>
      </c>
      <c r="C1401" s="2" t="s">
        <v>2308</v>
      </c>
      <c r="D1401" s="2" t="s">
        <v>2</v>
      </c>
      <c r="E1401" s="6" t="s">
        <v>408</v>
      </c>
      <c r="F1401" s="2">
        <v>194</v>
      </c>
    </row>
    <row r="1402" spans="1:6" x14ac:dyDescent="0.2">
      <c r="A1402" s="6" t="s">
        <v>270</v>
      </c>
      <c r="B1402" s="4">
        <v>266</v>
      </c>
      <c r="C1402" s="2" t="s">
        <v>2308</v>
      </c>
      <c r="D1402" s="2" t="s">
        <v>4</v>
      </c>
      <c r="E1402" s="5" t="s">
        <v>410</v>
      </c>
      <c r="F1402" s="2">
        <v>140</v>
      </c>
    </row>
    <row r="1403" spans="1:6" x14ac:dyDescent="0.2">
      <c r="A1403" s="6" t="s">
        <v>152</v>
      </c>
      <c r="B1403" s="4">
        <v>147</v>
      </c>
      <c r="C1403" s="2" t="s">
        <v>2310</v>
      </c>
      <c r="D1403" s="2" t="s">
        <v>4</v>
      </c>
      <c r="E1403" s="5" t="s">
        <v>410</v>
      </c>
      <c r="F1403" s="2">
        <v>235</v>
      </c>
    </row>
    <row r="1404" spans="1:6" x14ac:dyDescent="0.2">
      <c r="A1404" s="6" t="s">
        <v>39</v>
      </c>
      <c r="B1404" s="4">
        <v>34</v>
      </c>
      <c r="C1404" s="2" t="s">
        <v>2309</v>
      </c>
      <c r="D1404" s="2" t="s">
        <v>3</v>
      </c>
      <c r="E1404" s="5" t="s">
        <v>412</v>
      </c>
      <c r="F1404" s="2">
        <v>174</v>
      </c>
    </row>
    <row r="1405" spans="1:6" x14ac:dyDescent="0.2">
      <c r="A1405" s="6" t="s">
        <v>369</v>
      </c>
      <c r="B1405" s="4">
        <v>365</v>
      </c>
      <c r="C1405" s="2" t="s">
        <v>2307</v>
      </c>
      <c r="D1405" s="2" t="s">
        <v>4</v>
      </c>
      <c r="E1405" s="5" t="s">
        <v>411</v>
      </c>
      <c r="F1405" s="2">
        <v>239</v>
      </c>
    </row>
    <row r="1406" spans="1:6" x14ac:dyDescent="0.2">
      <c r="A1406" s="6" t="s">
        <v>205</v>
      </c>
      <c r="B1406" s="4">
        <v>201</v>
      </c>
      <c r="C1406" s="2" t="s">
        <v>2308</v>
      </c>
      <c r="D1406" s="2" t="s">
        <v>2</v>
      </c>
      <c r="E1406" s="5" t="s">
        <v>410</v>
      </c>
      <c r="F1406" s="2">
        <v>160</v>
      </c>
    </row>
    <row r="1407" spans="1:6" x14ac:dyDescent="0.2">
      <c r="A1407" s="6" t="s">
        <v>388</v>
      </c>
      <c r="B1407" s="4">
        <v>384</v>
      </c>
      <c r="C1407" s="2" t="s">
        <v>2307</v>
      </c>
      <c r="D1407" s="2" t="s">
        <v>5</v>
      </c>
      <c r="E1407" s="5" t="s">
        <v>408</v>
      </c>
      <c r="F1407" s="2">
        <v>238</v>
      </c>
    </row>
    <row r="1408" spans="1:6" x14ac:dyDescent="0.2">
      <c r="A1408" s="6" t="s">
        <v>86</v>
      </c>
      <c r="B1408" s="4">
        <v>81</v>
      </c>
      <c r="C1408" s="2" t="s">
        <v>2309</v>
      </c>
      <c r="D1408" s="2" t="s">
        <v>5</v>
      </c>
      <c r="E1408" s="5" t="s">
        <v>412</v>
      </c>
      <c r="F1408" s="2">
        <v>133</v>
      </c>
    </row>
    <row r="1409" spans="1:6" x14ac:dyDescent="0.2">
      <c r="A1409" s="6" t="s">
        <v>125</v>
      </c>
      <c r="B1409" s="4">
        <v>120</v>
      </c>
      <c r="C1409" s="2" t="s">
        <v>2310</v>
      </c>
      <c r="D1409" s="2" t="s">
        <v>3</v>
      </c>
      <c r="E1409" s="5" t="s">
        <v>412</v>
      </c>
      <c r="F1409" s="2">
        <v>250</v>
      </c>
    </row>
    <row r="1410" spans="1:6" x14ac:dyDescent="0.2">
      <c r="A1410" s="6" t="s">
        <v>402</v>
      </c>
      <c r="B1410" s="4">
        <v>398</v>
      </c>
      <c r="C1410" s="2" t="s">
        <v>2307</v>
      </c>
      <c r="D1410" s="2" t="s">
        <v>5</v>
      </c>
      <c r="E1410" s="5" t="s">
        <v>408</v>
      </c>
      <c r="F1410" s="2">
        <v>162</v>
      </c>
    </row>
    <row r="1411" spans="1:6" x14ac:dyDescent="0.2">
      <c r="A1411" s="6" t="s">
        <v>109</v>
      </c>
      <c r="B1411" s="4">
        <v>104</v>
      </c>
      <c r="C1411" s="2" t="s">
        <v>2310</v>
      </c>
      <c r="D1411" s="2" t="s">
        <v>2</v>
      </c>
      <c r="E1411" s="5" t="s">
        <v>409</v>
      </c>
      <c r="F1411" s="2">
        <v>286</v>
      </c>
    </row>
    <row r="1412" spans="1:6" x14ac:dyDescent="0.2">
      <c r="A1412" s="6" t="s">
        <v>257</v>
      </c>
      <c r="B1412" s="4">
        <v>253</v>
      </c>
      <c r="C1412" s="2" t="s">
        <v>2308</v>
      </c>
      <c r="D1412" s="2" t="s">
        <v>4</v>
      </c>
      <c r="E1412" s="6" t="s">
        <v>408</v>
      </c>
      <c r="F1412" s="2">
        <v>241</v>
      </c>
    </row>
    <row r="1413" spans="1:6" x14ac:dyDescent="0.2">
      <c r="A1413" s="6" t="s">
        <v>252</v>
      </c>
      <c r="B1413" s="4">
        <v>248</v>
      </c>
      <c r="C1413" s="2" t="s">
        <v>2308</v>
      </c>
      <c r="D1413" s="2" t="s">
        <v>4</v>
      </c>
      <c r="E1413" s="6" t="s">
        <v>408</v>
      </c>
      <c r="F1413" s="2">
        <v>298</v>
      </c>
    </row>
    <row r="1414" spans="1:6" x14ac:dyDescent="0.2">
      <c r="A1414" s="6" t="s">
        <v>77</v>
      </c>
      <c r="B1414" s="4">
        <v>72</v>
      </c>
      <c r="C1414" s="2" t="s">
        <v>2309</v>
      </c>
      <c r="D1414" s="2" t="s">
        <v>4</v>
      </c>
      <c r="E1414" s="5" t="s">
        <v>412</v>
      </c>
      <c r="F1414" s="2">
        <v>163</v>
      </c>
    </row>
    <row r="1415" spans="1:6" x14ac:dyDescent="0.2">
      <c r="A1415" s="6" t="s">
        <v>311</v>
      </c>
      <c r="B1415" s="4">
        <v>307</v>
      </c>
      <c r="C1415" s="2" t="s">
        <v>2307</v>
      </c>
      <c r="D1415" s="2" t="s">
        <v>2</v>
      </c>
      <c r="E1415" s="5" t="s">
        <v>410</v>
      </c>
      <c r="F1415" s="2">
        <v>231</v>
      </c>
    </row>
    <row r="1416" spans="1:6" x14ac:dyDescent="0.2">
      <c r="A1416" s="6" t="s">
        <v>268</v>
      </c>
      <c r="B1416" s="4">
        <v>264</v>
      </c>
      <c r="C1416" s="2" t="s">
        <v>2308</v>
      </c>
      <c r="D1416" s="2" t="s">
        <v>4</v>
      </c>
      <c r="E1416" s="5" t="s">
        <v>410</v>
      </c>
      <c r="F1416" s="2">
        <v>288</v>
      </c>
    </row>
    <row r="1417" spans="1:6" x14ac:dyDescent="0.2">
      <c r="A1417" s="6" t="s">
        <v>276</v>
      </c>
      <c r="B1417" s="4">
        <v>272</v>
      </c>
      <c r="C1417" s="2" t="s">
        <v>2308</v>
      </c>
      <c r="D1417" s="2" t="s">
        <v>5</v>
      </c>
      <c r="E1417" s="5" t="s">
        <v>412</v>
      </c>
      <c r="F1417" s="2">
        <v>127</v>
      </c>
    </row>
    <row r="1418" spans="1:6" x14ac:dyDescent="0.2">
      <c r="A1418" s="6" t="s">
        <v>271</v>
      </c>
      <c r="B1418" s="4">
        <v>267</v>
      </c>
      <c r="C1418" s="2" t="s">
        <v>2308</v>
      </c>
      <c r="D1418" s="2" t="s">
        <v>4</v>
      </c>
      <c r="E1418" s="5" t="s">
        <v>410</v>
      </c>
      <c r="F1418" s="2">
        <v>281</v>
      </c>
    </row>
    <row r="1419" spans="1:6" x14ac:dyDescent="0.2">
      <c r="A1419" s="6" t="s">
        <v>163</v>
      </c>
      <c r="B1419" s="4">
        <v>158</v>
      </c>
      <c r="C1419" s="2" t="s">
        <v>2310</v>
      </c>
      <c r="D1419" s="2" t="s">
        <v>4</v>
      </c>
      <c r="E1419" s="5" t="s">
        <v>411</v>
      </c>
      <c r="F1419" s="2">
        <v>298</v>
      </c>
    </row>
    <row r="1420" spans="1:6" x14ac:dyDescent="0.2">
      <c r="A1420" s="6" t="s">
        <v>195</v>
      </c>
      <c r="B1420" s="4">
        <v>191</v>
      </c>
      <c r="C1420" s="2" t="s">
        <v>2310</v>
      </c>
      <c r="D1420" s="2" t="s">
        <v>5</v>
      </c>
      <c r="E1420" s="6" t="s">
        <v>408</v>
      </c>
      <c r="F1420" s="2">
        <v>123</v>
      </c>
    </row>
    <row r="1421" spans="1:6" x14ac:dyDescent="0.2">
      <c r="A1421" s="6" t="s">
        <v>127</v>
      </c>
      <c r="B1421" s="4">
        <v>122</v>
      </c>
      <c r="C1421" s="2" t="s">
        <v>2310</v>
      </c>
      <c r="D1421" s="2" t="s">
        <v>3</v>
      </c>
      <c r="E1421" s="7" t="s">
        <v>409</v>
      </c>
      <c r="F1421" s="2">
        <v>257</v>
      </c>
    </row>
    <row r="1422" spans="1:6" x14ac:dyDescent="0.2">
      <c r="A1422" s="6" t="s">
        <v>192</v>
      </c>
      <c r="B1422" s="4">
        <v>187</v>
      </c>
      <c r="C1422" s="2" t="s">
        <v>2310</v>
      </c>
      <c r="D1422" s="2" t="s">
        <v>5</v>
      </c>
      <c r="E1422" s="6" t="s">
        <v>408</v>
      </c>
      <c r="F1422" s="2">
        <v>162</v>
      </c>
    </row>
    <row r="1423" spans="1:6" x14ac:dyDescent="0.2">
      <c r="A1423" s="6" t="s">
        <v>55</v>
      </c>
      <c r="B1423" s="4">
        <v>50</v>
      </c>
      <c r="C1423" s="2" t="s">
        <v>2309</v>
      </c>
      <c r="D1423" s="2" t="s">
        <v>3</v>
      </c>
      <c r="E1423" s="5" t="s">
        <v>411</v>
      </c>
      <c r="F1423" s="2">
        <v>295</v>
      </c>
    </row>
    <row r="1424" spans="1:6" x14ac:dyDescent="0.2">
      <c r="A1424" s="6" t="s">
        <v>279</v>
      </c>
      <c r="B1424" s="4">
        <v>275</v>
      </c>
      <c r="C1424" s="2" t="s">
        <v>2308</v>
      </c>
      <c r="D1424" s="2" t="s">
        <v>5</v>
      </c>
      <c r="E1424" s="5" t="s">
        <v>410</v>
      </c>
      <c r="F1424" s="2">
        <v>298</v>
      </c>
    </row>
    <row r="1425" spans="1:6" x14ac:dyDescent="0.2">
      <c r="A1425" s="6" t="s">
        <v>332</v>
      </c>
      <c r="B1425" s="4">
        <v>328</v>
      </c>
      <c r="C1425" s="2" t="s">
        <v>2307</v>
      </c>
      <c r="D1425" s="2" t="s">
        <v>3</v>
      </c>
      <c r="E1425" s="5" t="s">
        <v>409</v>
      </c>
      <c r="F1425" s="2">
        <v>279</v>
      </c>
    </row>
    <row r="1426" spans="1:6" x14ac:dyDescent="0.2">
      <c r="A1426" s="6" t="s">
        <v>275</v>
      </c>
      <c r="B1426" s="4">
        <v>271</v>
      </c>
      <c r="C1426" s="2" t="s">
        <v>2308</v>
      </c>
      <c r="D1426" s="2" t="s">
        <v>5</v>
      </c>
      <c r="E1426" s="6" t="s">
        <v>408</v>
      </c>
      <c r="F1426" s="2">
        <v>168</v>
      </c>
    </row>
    <row r="1427" spans="1:6" x14ac:dyDescent="0.2">
      <c r="A1427" s="6" t="s">
        <v>40</v>
      </c>
      <c r="B1427" s="4">
        <v>35</v>
      </c>
      <c r="C1427" s="2" t="s">
        <v>2309</v>
      </c>
      <c r="D1427" s="2" t="s">
        <v>3</v>
      </c>
      <c r="E1427" s="5" t="s">
        <v>411</v>
      </c>
      <c r="F1427" s="2">
        <v>160</v>
      </c>
    </row>
    <row r="1428" spans="1:6" x14ac:dyDescent="0.2">
      <c r="A1428" s="6" t="s">
        <v>135</v>
      </c>
      <c r="B1428" s="4">
        <v>130</v>
      </c>
      <c r="C1428" s="2" t="s">
        <v>2310</v>
      </c>
      <c r="D1428" s="2" t="s">
        <v>3</v>
      </c>
      <c r="E1428" s="7" t="s">
        <v>410</v>
      </c>
      <c r="F1428" s="2">
        <v>199</v>
      </c>
    </row>
    <row r="1429" spans="1:6" x14ac:dyDescent="0.2">
      <c r="A1429" s="6" t="s">
        <v>300</v>
      </c>
      <c r="B1429" s="4">
        <v>296</v>
      </c>
      <c r="C1429" s="2" t="s">
        <v>2307</v>
      </c>
      <c r="D1429" s="2" t="s">
        <v>2</v>
      </c>
      <c r="E1429" s="5" t="s">
        <v>411</v>
      </c>
      <c r="F1429" s="2">
        <v>294</v>
      </c>
    </row>
    <row r="1430" spans="1:6" x14ac:dyDescent="0.2">
      <c r="A1430" s="6" t="s">
        <v>326</v>
      </c>
      <c r="B1430" s="4">
        <v>322</v>
      </c>
      <c r="C1430" s="2" t="s">
        <v>2307</v>
      </c>
      <c r="D1430" s="2" t="s">
        <v>2</v>
      </c>
      <c r="E1430" s="5" t="s">
        <v>410</v>
      </c>
      <c r="F1430" s="2">
        <v>270</v>
      </c>
    </row>
    <row r="1431" spans="1:6" x14ac:dyDescent="0.2">
      <c r="A1431" s="6" t="s">
        <v>177</v>
      </c>
      <c r="B1431" s="4">
        <v>172</v>
      </c>
      <c r="C1431" s="2" t="s">
        <v>2310</v>
      </c>
      <c r="D1431" s="2" t="s">
        <v>5</v>
      </c>
      <c r="E1431" s="7" t="s">
        <v>409</v>
      </c>
      <c r="F1431" s="2">
        <v>291</v>
      </c>
    </row>
    <row r="1432" spans="1:6" x14ac:dyDescent="0.2">
      <c r="A1432" s="6" t="s">
        <v>384</v>
      </c>
      <c r="B1432" s="4">
        <v>380</v>
      </c>
      <c r="C1432" s="2" t="s">
        <v>2307</v>
      </c>
      <c r="D1432" s="2" t="s">
        <v>5</v>
      </c>
      <c r="E1432" s="5" t="s">
        <v>408</v>
      </c>
      <c r="F1432" s="2">
        <v>177</v>
      </c>
    </row>
    <row r="1433" spans="1:6" x14ac:dyDescent="0.2">
      <c r="A1433" s="6" t="s">
        <v>358</v>
      </c>
      <c r="B1433" s="4">
        <v>354</v>
      </c>
      <c r="C1433" s="2" t="s">
        <v>2307</v>
      </c>
      <c r="D1433" s="2" t="s">
        <v>4</v>
      </c>
      <c r="E1433" s="5" t="s">
        <v>411</v>
      </c>
      <c r="F1433" s="2">
        <v>183</v>
      </c>
    </row>
    <row r="1434" spans="1:6" x14ac:dyDescent="0.2">
      <c r="A1434" s="6" t="s">
        <v>38</v>
      </c>
      <c r="B1434" s="4">
        <v>33</v>
      </c>
      <c r="C1434" s="2" t="s">
        <v>2309</v>
      </c>
      <c r="D1434" s="2" t="s">
        <v>3</v>
      </c>
      <c r="E1434" s="5" t="s">
        <v>409</v>
      </c>
      <c r="F1434" s="2">
        <v>298</v>
      </c>
    </row>
    <row r="1435" spans="1:6" x14ac:dyDescent="0.2">
      <c r="A1435" s="6" t="s">
        <v>246</v>
      </c>
      <c r="B1435" s="4">
        <v>242</v>
      </c>
      <c r="C1435" s="2" t="s">
        <v>2308</v>
      </c>
      <c r="D1435" s="2" t="s">
        <v>3</v>
      </c>
      <c r="E1435" s="6" t="s">
        <v>408</v>
      </c>
      <c r="F1435" s="2">
        <v>290</v>
      </c>
    </row>
    <row r="1436" spans="1:6" x14ac:dyDescent="0.2">
      <c r="A1436" s="6" t="s">
        <v>170</v>
      </c>
      <c r="B1436" s="4">
        <v>165</v>
      </c>
      <c r="C1436" s="2" t="s">
        <v>2310</v>
      </c>
      <c r="D1436" s="2" t="s">
        <v>4</v>
      </c>
      <c r="E1436" s="5" t="s">
        <v>412</v>
      </c>
      <c r="F1436" s="2">
        <v>265</v>
      </c>
    </row>
    <row r="1437" spans="1:6" x14ac:dyDescent="0.2">
      <c r="A1437" s="6" t="s">
        <v>45</v>
      </c>
      <c r="B1437" s="4">
        <v>40</v>
      </c>
      <c r="C1437" s="2" t="s">
        <v>2309</v>
      </c>
      <c r="D1437" s="2" t="s">
        <v>3</v>
      </c>
      <c r="E1437" s="5" t="s">
        <v>410</v>
      </c>
      <c r="F1437" s="2">
        <v>298</v>
      </c>
    </row>
    <row r="1438" spans="1:6" x14ac:dyDescent="0.2">
      <c r="A1438" s="6" t="s">
        <v>114</v>
      </c>
      <c r="B1438" s="4">
        <v>109</v>
      </c>
      <c r="C1438" s="2" t="s">
        <v>2310</v>
      </c>
      <c r="D1438" s="2" t="s">
        <v>2</v>
      </c>
      <c r="E1438" s="5" t="s">
        <v>411</v>
      </c>
      <c r="F1438" s="2">
        <v>152</v>
      </c>
    </row>
    <row r="1439" spans="1:6" x14ac:dyDescent="0.2">
      <c r="A1439" s="6" t="s">
        <v>345</v>
      </c>
      <c r="B1439" s="4">
        <v>341</v>
      </c>
      <c r="C1439" s="2" t="s">
        <v>2307</v>
      </c>
      <c r="D1439" s="2" t="s">
        <v>3</v>
      </c>
      <c r="E1439" s="5" t="s">
        <v>412</v>
      </c>
      <c r="F1439" s="2">
        <v>194</v>
      </c>
    </row>
    <row r="1440" spans="1:6" x14ac:dyDescent="0.2">
      <c r="A1440" s="6" t="s">
        <v>285</v>
      </c>
      <c r="B1440" s="4">
        <v>281</v>
      </c>
      <c r="C1440" s="2" t="s">
        <v>2308</v>
      </c>
      <c r="D1440" s="2" t="s">
        <v>5</v>
      </c>
      <c r="E1440" s="5" t="s">
        <v>410</v>
      </c>
      <c r="F1440" s="2">
        <v>165</v>
      </c>
    </row>
    <row r="1441" spans="1:6" x14ac:dyDescent="0.2">
      <c r="A1441" s="6" t="s">
        <v>190</v>
      </c>
      <c r="B1441" s="4">
        <v>185</v>
      </c>
      <c r="C1441" s="2" t="s">
        <v>2310</v>
      </c>
      <c r="D1441" s="2" t="s">
        <v>5</v>
      </c>
      <c r="E1441" s="5" t="s">
        <v>412</v>
      </c>
      <c r="F1441" s="2">
        <v>230</v>
      </c>
    </row>
    <row r="1442" spans="1:6" x14ac:dyDescent="0.2">
      <c r="A1442" s="6" t="s">
        <v>231</v>
      </c>
      <c r="B1442" s="4">
        <v>227</v>
      </c>
      <c r="C1442" s="2" t="s">
        <v>2308</v>
      </c>
      <c r="D1442" s="2" t="s">
        <v>3</v>
      </c>
      <c r="E1442" s="6" t="s">
        <v>408</v>
      </c>
      <c r="F1442" s="2">
        <v>163</v>
      </c>
    </row>
    <row r="1443" spans="1:6" x14ac:dyDescent="0.2">
      <c r="A1443" s="6" t="s">
        <v>241</v>
      </c>
      <c r="B1443" s="4">
        <v>237</v>
      </c>
      <c r="C1443" s="2" t="s">
        <v>2308</v>
      </c>
      <c r="D1443" s="2" t="s">
        <v>3</v>
      </c>
      <c r="E1443" s="5" t="s">
        <v>412</v>
      </c>
      <c r="F1443" s="2">
        <v>284</v>
      </c>
    </row>
    <row r="1444" spans="1:6" x14ac:dyDescent="0.2">
      <c r="A1444" s="6" t="s">
        <v>56</v>
      </c>
      <c r="B1444" s="4">
        <v>51</v>
      </c>
      <c r="C1444" s="2" t="s">
        <v>2309</v>
      </c>
      <c r="D1444" s="2" t="s">
        <v>4</v>
      </c>
      <c r="E1444" s="5" t="s">
        <v>411</v>
      </c>
      <c r="F1444" s="2">
        <v>211</v>
      </c>
    </row>
    <row r="1445" spans="1:6" x14ac:dyDescent="0.2">
      <c r="A1445" s="6" t="s">
        <v>160</v>
      </c>
      <c r="B1445" s="4">
        <v>155</v>
      </c>
      <c r="C1445" s="2" t="s">
        <v>2310</v>
      </c>
      <c r="D1445" s="2" t="s">
        <v>4</v>
      </c>
      <c r="E1445" s="5" t="s">
        <v>411</v>
      </c>
      <c r="F1445" s="2">
        <v>290</v>
      </c>
    </row>
    <row r="1446" spans="1:6" x14ac:dyDescent="0.2">
      <c r="A1446" s="6" t="s">
        <v>364</v>
      </c>
      <c r="B1446" s="4">
        <v>360</v>
      </c>
      <c r="C1446" s="2" t="s">
        <v>2307</v>
      </c>
      <c r="D1446" s="2" t="s">
        <v>4</v>
      </c>
      <c r="E1446" s="5" t="s">
        <v>408</v>
      </c>
      <c r="F1446" s="2">
        <v>262</v>
      </c>
    </row>
    <row r="1447" spans="1:6" x14ac:dyDescent="0.2">
      <c r="A1447" s="6" t="s">
        <v>163</v>
      </c>
      <c r="B1447" s="4">
        <v>158</v>
      </c>
      <c r="C1447" s="2" t="s">
        <v>2310</v>
      </c>
      <c r="D1447" s="2" t="s">
        <v>4</v>
      </c>
      <c r="E1447" s="7" t="s">
        <v>409</v>
      </c>
      <c r="F1447" s="2">
        <v>251</v>
      </c>
    </row>
    <row r="1448" spans="1:6" x14ac:dyDescent="0.2">
      <c r="A1448" s="6" t="s">
        <v>332</v>
      </c>
      <c r="B1448" s="4">
        <v>328</v>
      </c>
      <c r="C1448" s="2" t="s">
        <v>2307</v>
      </c>
      <c r="D1448" s="2" t="s">
        <v>3</v>
      </c>
      <c r="E1448" s="5" t="s">
        <v>412</v>
      </c>
      <c r="F1448" s="2">
        <v>242</v>
      </c>
    </row>
    <row r="1449" spans="1:6" x14ac:dyDescent="0.2">
      <c r="A1449" s="6" t="s">
        <v>41</v>
      </c>
      <c r="B1449" s="4">
        <v>36</v>
      </c>
      <c r="C1449" s="2" t="s">
        <v>2309</v>
      </c>
      <c r="D1449" s="2" t="s">
        <v>3</v>
      </c>
      <c r="E1449" s="5" t="s">
        <v>411</v>
      </c>
      <c r="F1449" s="2">
        <v>129</v>
      </c>
    </row>
    <row r="1450" spans="1:6" x14ac:dyDescent="0.2">
      <c r="A1450" s="6" t="s">
        <v>317</v>
      </c>
      <c r="B1450" s="4">
        <v>313</v>
      </c>
      <c r="C1450" s="2" t="s">
        <v>2307</v>
      </c>
      <c r="D1450" s="2" t="s">
        <v>2</v>
      </c>
      <c r="E1450" s="5" t="s">
        <v>411</v>
      </c>
      <c r="F1450" s="2">
        <v>234</v>
      </c>
    </row>
    <row r="1451" spans="1:6" x14ac:dyDescent="0.2">
      <c r="A1451" s="6" t="s">
        <v>29</v>
      </c>
      <c r="B1451" s="4">
        <v>188</v>
      </c>
      <c r="C1451" s="2" t="s">
        <v>2310</v>
      </c>
      <c r="D1451" s="2" t="s">
        <v>5</v>
      </c>
      <c r="E1451" s="7" t="s">
        <v>409</v>
      </c>
      <c r="F1451" s="2">
        <v>225</v>
      </c>
    </row>
    <row r="1452" spans="1:6" x14ac:dyDescent="0.2">
      <c r="A1452" s="6" t="s">
        <v>326</v>
      </c>
      <c r="B1452" s="4">
        <v>322</v>
      </c>
      <c r="C1452" s="2" t="s">
        <v>2307</v>
      </c>
      <c r="D1452" s="2" t="s">
        <v>2</v>
      </c>
      <c r="E1452" s="5" t="s">
        <v>408</v>
      </c>
      <c r="F1452" s="2">
        <v>259</v>
      </c>
    </row>
    <row r="1453" spans="1:6" x14ac:dyDescent="0.2">
      <c r="A1453" s="6" t="s">
        <v>288</v>
      </c>
      <c r="B1453" s="4">
        <v>284</v>
      </c>
      <c r="C1453" s="2" t="s">
        <v>2308</v>
      </c>
      <c r="D1453" s="2" t="s">
        <v>5</v>
      </c>
      <c r="E1453" s="5" t="s">
        <v>409</v>
      </c>
      <c r="F1453" s="2">
        <v>167</v>
      </c>
    </row>
    <row r="1454" spans="1:6" x14ac:dyDescent="0.2">
      <c r="A1454" s="6" t="s">
        <v>332</v>
      </c>
      <c r="B1454" s="4">
        <v>328</v>
      </c>
      <c r="C1454" s="2" t="s">
        <v>2307</v>
      </c>
      <c r="D1454" s="2" t="s">
        <v>3</v>
      </c>
      <c r="E1454" s="5" t="s">
        <v>411</v>
      </c>
      <c r="F1454" s="2">
        <v>173</v>
      </c>
    </row>
    <row r="1455" spans="1:6" x14ac:dyDescent="0.2">
      <c r="A1455" s="6" t="s">
        <v>353</v>
      </c>
      <c r="B1455" s="4">
        <v>349</v>
      </c>
      <c r="C1455" s="2" t="s">
        <v>2307</v>
      </c>
      <c r="D1455" s="2" t="s">
        <v>3</v>
      </c>
      <c r="E1455" s="5" t="s">
        <v>412</v>
      </c>
      <c r="F1455" s="2">
        <v>220</v>
      </c>
    </row>
    <row r="1456" spans="1:6" x14ac:dyDescent="0.2">
      <c r="A1456" s="6" t="s">
        <v>322</v>
      </c>
      <c r="B1456" s="4">
        <v>318</v>
      </c>
      <c r="C1456" s="2" t="s">
        <v>2307</v>
      </c>
      <c r="D1456" s="2" t="s">
        <v>2</v>
      </c>
      <c r="E1456" s="5" t="s">
        <v>412</v>
      </c>
      <c r="F1456" s="2">
        <v>204</v>
      </c>
    </row>
    <row r="1457" spans="1:6" x14ac:dyDescent="0.2">
      <c r="A1457" s="6" t="s">
        <v>122</v>
      </c>
      <c r="B1457" s="4">
        <v>117</v>
      </c>
      <c r="C1457" s="2" t="s">
        <v>2310</v>
      </c>
      <c r="D1457" s="2" t="s">
        <v>2</v>
      </c>
      <c r="E1457" s="5" t="s">
        <v>409</v>
      </c>
      <c r="F1457" s="2">
        <v>189</v>
      </c>
    </row>
    <row r="1458" spans="1:6" x14ac:dyDescent="0.2">
      <c r="A1458" s="6" t="s">
        <v>25</v>
      </c>
      <c r="B1458" s="4">
        <v>20</v>
      </c>
      <c r="C1458" s="2" t="s">
        <v>2309</v>
      </c>
      <c r="D1458" s="2" t="s">
        <v>2</v>
      </c>
      <c r="E1458" s="5" t="s">
        <v>410</v>
      </c>
      <c r="F1458" s="2">
        <v>195</v>
      </c>
    </row>
    <row r="1459" spans="1:6" x14ac:dyDescent="0.2">
      <c r="A1459" s="6" t="s">
        <v>235</v>
      </c>
      <c r="B1459" s="4">
        <v>231</v>
      </c>
      <c r="C1459" s="2" t="s">
        <v>2308</v>
      </c>
      <c r="D1459" s="2" t="s">
        <v>3</v>
      </c>
      <c r="E1459" s="7" t="s">
        <v>409</v>
      </c>
      <c r="F1459" s="2">
        <v>168</v>
      </c>
    </row>
    <row r="1460" spans="1:6" x14ac:dyDescent="0.2">
      <c r="A1460" s="6" t="s">
        <v>61</v>
      </c>
      <c r="B1460" s="4">
        <v>56</v>
      </c>
      <c r="C1460" s="2" t="s">
        <v>2309</v>
      </c>
      <c r="D1460" s="2" t="s">
        <v>4</v>
      </c>
      <c r="E1460" s="5" t="s">
        <v>409</v>
      </c>
      <c r="F1460" s="2">
        <v>270</v>
      </c>
    </row>
    <row r="1461" spans="1:6" x14ac:dyDescent="0.2">
      <c r="A1461" s="6" t="s">
        <v>219</v>
      </c>
      <c r="B1461" s="4">
        <v>215</v>
      </c>
      <c r="C1461" s="2" t="s">
        <v>2308</v>
      </c>
      <c r="D1461" s="2" t="s">
        <v>2</v>
      </c>
      <c r="E1461" s="6" t="s">
        <v>408</v>
      </c>
      <c r="F1461" s="2">
        <v>206</v>
      </c>
    </row>
    <row r="1462" spans="1:6" x14ac:dyDescent="0.2">
      <c r="A1462" s="6" t="s">
        <v>177</v>
      </c>
      <c r="B1462" s="4">
        <v>172</v>
      </c>
      <c r="C1462" s="2" t="s">
        <v>2310</v>
      </c>
      <c r="D1462" s="2" t="s">
        <v>5</v>
      </c>
      <c r="E1462" s="5" t="s">
        <v>412</v>
      </c>
      <c r="F1462" s="2">
        <v>276</v>
      </c>
    </row>
    <row r="1463" spans="1:6" x14ac:dyDescent="0.2">
      <c r="A1463" s="6" t="s">
        <v>153</v>
      </c>
      <c r="B1463" s="4">
        <v>148</v>
      </c>
      <c r="C1463" s="2" t="s">
        <v>2310</v>
      </c>
      <c r="D1463" s="2" t="s">
        <v>4</v>
      </c>
      <c r="E1463" s="5" t="s">
        <v>411</v>
      </c>
      <c r="F1463" s="2">
        <v>255</v>
      </c>
    </row>
    <row r="1464" spans="1:6" x14ac:dyDescent="0.2">
      <c r="A1464" s="6" t="s">
        <v>14</v>
      </c>
      <c r="B1464" s="4">
        <v>9</v>
      </c>
      <c r="C1464" s="2" t="s">
        <v>2309</v>
      </c>
      <c r="D1464" s="2" t="s">
        <v>2</v>
      </c>
      <c r="E1464" s="5" t="s">
        <v>410</v>
      </c>
      <c r="F1464" s="2">
        <v>193</v>
      </c>
    </row>
    <row r="1465" spans="1:6" x14ac:dyDescent="0.2">
      <c r="A1465" s="6" t="s">
        <v>312</v>
      </c>
      <c r="B1465" s="4">
        <v>308</v>
      </c>
      <c r="C1465" s="2" t="s">
        <v>2307</v>
      </c>
      <c r="D1465" s="2" t="s">
        <v>2</v>
      </c>
      <c r="E1465" s="5" t="s">
        <v>411</v>
      </c>
      <c r="F1465" s="2">
        <v>173</v>
      </c>
    </row>
    <row r="1466" spans="1:6" x14ac:dyDescent="0.2">
      <c r="A1466" s="6" t="s">
        <v>77</v>
      </c>
      <c r="B1466" s="4">
        <v>72</v>
      </c>
      <c r="C1466" s="2" t="s">
        <v>2309</v>
      </c>
      <c r="D1466" s="2" t="s">
        <v>4</v>
      </c>
      <c r="E1466" s="5" t="s">
        <v>408</v>
      </c>
      <c r="F1466" s="2">
        <v>262</v>
      </c>
    </row>
    <row r="1467" spans="1:6" x14ac:dyDescent="0.2">
      <c r="A1467" s="6" t="s">
        <v>391</v>
      </c>
      <c r="B1467" s="4">
        <v>387</v>
      </c>
      <c r="C1467" s="2" t="s">
        <v>2307</v>
      </c>
      <c r="D1467" s="2" t="s">
        <v>5</v>
      </c>
      <c r="E1467" s="5" t="s">
        <v>408</v>
      </c>
      <c r="F1467" s="2">
        <v>227</v>
      </c>
    </row>
    <row r="1468" spans="1:6" x14ac:dyDescent="0.2">
      <c r="A1468" s="6" t="s">
        <v>200</v>
      </c>
      <c r="B1468" s="4">
        <v>196</v>
      </c>
      <c r="C1468" s="2" t="s">
        <v>2308</v>
      </c>
      <c r="D1468" s="2" t="s">
        <v>2</v>
      </c>
      <c r="E1468" s="5" t="s">
        <v>411</v>
      </c>
      <c r="F1468" s="2">
        <v>272</v>
      </c>
    </row>
    <row r="1469" spans="1:6" x14ac:dyDescent="0.2">
      <c r="A1469" s="6" t="s">
        <v>354</v>
      </c>
      <c r="B1469" s="4">
        <v>350</v>
      </c>
      <c r="C1469" s="2" t="s">
        <v>2307</v>
      </c>
      <c r="D1469" s="2" t="s">
        <v>3</v>
      </c>
      <c r="E1469" s="5" t="s">
        <v>410</v>
      </c>
      <c r="F1469" s="2">
        <v>266</v>
      </c>
    </row>
    <row r="1470" spans="1:6" x14ac:dyDescent="0.2">
      <c r="A1470" s="6" t="s">
        <v>38</v>
      </c>
      <c r="B1470" s="4">
        <v>33</v>
      </c>
      <c r="C1470" s="2" t="s">
        <v>2309</v>
      </c>
      <c r="D1470" s="2" t="s">
        <v>3</v>
      </c>
      <c r="E1470" s="5" t="s">
        <v>412</v>
      </c>
      <c r="F1470" s="2">
        <v>245</v>
      </c>
    </row>
    <row r="1471" spans="1:6" x14ac:dyDescent="0.2">
      <c r="A1471" s="6" t="s">
        <v>198</v>
      </c>
      <c r="B1471" s="4">
        <v>194</v>
      </c>
      <c r="C1471" s="2" t="s">
        <v>2308</v>
      </c>
      <c r="D1471" s="2" t="s">
        <v>2</v>
      </c>
      <c r="E1471" s="5" t="s">
        <v>411</v>
      </c>
      <c r="F1471" s="2">
        <v>185</v>
      </c>
    </row>
    <row r="1472" spans="1:6" x14ac:dyDescent="0.2">
      <c r="A1472" s="6" t="s">
        <v>26</v>
      </c>
      <c r="B1472" s="4">
        <v>21</v>
      </c>
      <c r="C1472" s="2" t="s">
        <v>2309</v>
      </c>
      <c r="D1472" s="2" t="s">
        <v>2</v>
      </c>
      <c r="E1472" s="5" t="s">
        <v>410</v>
      </c>
      <c r="F1472" s="2">
        <v>211</v>
      </c>
    </row>
    <row r="1473" spans="1:6" x14ac:dyDescent="0.2">
      <c r="A1473" s="6" t="s">
        <v>98</v>
      </c>
      <c r="B1473" s="4">
        <v>93</v>
      </c>
      <c r="C1473" s="2" t="s">
        <v>2309</v>
      </c>
      <c r="D1473" s="2" t="s">
        <v>5</v>
      </c>
      <c r="E1473" s="5" t="s">
        <v>408</v>
      </c>
      <c r="F1473" s="2">
        <v>225</v>
      </c>
    </row>
    <row r="1474" spans="1:6" x14ac:dyDescent="0.2">
      <c r="A1474" s="6" t="s">
        <v>299</v>
      </c>
      <c r="B1474" s="4">
        <v>295</v>
      </c>
      <c r="C1474" s="2" t="s">
        <v>2308</v>
      </c>
      <c r="D1474" s="2" t="s">
        <v>5</v>
      </c>
      <c r="E1474" s="5" t="s">
        <v>409</v>
      </c>
      <c r="F1474" s="2">
        <v>157</v>
      </c>
    </row>
    <row r="1475" spans="1:6" x14ac:dyDescent="0.2">
      <c r="A1475" s="6" t="s">
        <v>280</v>
      </c>
      <c r="B1475" s="4">
        <v>276</v>
      </c>
      <c r="C1475" s="2" t="s">
        <v>2308</v>
      </c>
      <c r="D1475" s="2" t="s">
        <v>5</v>
      </c>
      <c r="E1475" s="6" t="s">
        <v>408</v>
      </c>
      <c r="F1475" s="2">
        <v>259</v>
      </c>
    </row>
    <row r="1476" spans="1:6" x14ac:dyDescent="0.2">
      <c r="A1476" s="6" t="s">
        <v>173</v>
      </c>
      <c r="B1476" s="4">
        <v>168</v>
      </c>
      <c r="C1476" s="2" t="s">
        <v>2310</v>
      </c>
      <c r="D1476" s="2" t="s">
        <v>5</v>
      </c>
      <c r="E1476" s="5" t="s">
        <v>412</v>
      </c>
      <c r="F1476" s="2">
        <v>165</v>
      </c>
    </row>
    <row r="1477" spans="1:6" x14ac:dyDescent="0.2">
      <c r="A1477" s="6" t="s">
        <v>269</v>
      </c>
      <c r="B1477" s="4">
        <v>265</v>
      </c>
      <c r="C1477" s="2" t="s">
        <v>2308</v>
      </c>
      <c r="D1477" s="2" t="s">
        <v>4</v>
      </c>
      <c r="E1477" s="5" t="s">
        <v>410</v>
      </c>
      <c r="F1477" s="2">
        <v>223</v>
      </c>
    </row>
    <row r="1478" spans="1:6" x14ac:dyDescent="0.2">
      <c r="A1478" s="6" t="s">
        <v>11</v>
      </c>
      <c r="B1478" s="4">
        <v>6</v>
      </c>
      <c r="C1478" s="2" t="s">
        <v>2309</v>
      </c>
      <c r="D1478" s="2" t="s">
        <v>2</v>
      </c>
      <c r="E1478" s="5" t="s">
        <v>410</v>
      </c>
      <c r="F1478" s="2">
        <v>211</v>
      </c>
    </row>
    <row r="1479" spans="1:6" x14ac:dyDescent="0.2">
      <c r="A1479" s="6" t="s">
        <v>215</v>
      </c>
      <c r="B1479" s="4">
        <v>211</v>
      </c>
      <c r="C1479" s="2" t="s">
        <v>2308</v>
      </c>
      <c r="D1479" s="2" t="s">
        <v>2</v>
      </c>
      <c r="E1479" s="5" t="s">
        <v>411</v>
      </c>
      <c r="F1479" s="2">
        <v>199</v>
      </c>
    </row>
    <row r="1480" spans="1:6" x14ac:dyDescent="0.2">
      <c r="A1480" s="6" t="s">
        <v>62</v>
      </c>
      <c r="B1480" s="4">
        <v>57</v>
      </c>
      <c r="C1480" s="2" t="s">
        <v>2309</v>
      </c>
      <c r="D1480" s="2" t="s">
        <v>4</v>
      </c>
      <c r="E1480" s="5" t="s">
        <v>411</v>
      </c>
      <c r="F1480" s="2">
        <v>238</v>
      </c>
    </row>
    <row r="1481" spans="1:6" x14ac:dyDescent="0.2">
      <c r="A1481" s="6" t="s">
        <v>357</v>
      </c>
      <c r="B1481" s="4">
        <v>353</v>
      </c>
      <c r="C1481" s="2" t="s">
        <v>2307</v>
      </c>
      <c r="D1481" s="2" t="s">
        <v>4</v>
      </c>
      <c r="E1481" s="5" t="s">
        <v>412</v>
      </c>
      <c r="F1481" s="2">
        <v>265</v>
      </c>
    </row>
    <row r="1482" spans="1:6" x14ac:dyDescent="0.2">
      <c r="A1482" s="6" t="s">
        <v>392</v>
      </c>
      <c r="B1482" s="4">
        <v>388</v>
      </c>
      <c r="C1482" s="2" t="s">
        <v>2307</v>
      </c>
      <c r="D1482" s="2" t="s">
        <v>5</v>
      </c>
      <c r="E1482" s="5" t="s">
        <v>411</v>
      </c>
      <c r="F1482" s="2">
        <v>228</v>
      </c>
    </row>
    <row r="1483" spans="1:6" x14ac:dyDescent="0.2">
      <c r="A1483" s="6" t="s">
        <v>11</v>
      </c>
      <c r="B1483" s="4">
        <v>6</v>
      </c>
      <c r="C1483" s="2" t="s">
        <v>2309</v>
      </c>
      <c r="D1483" s="2" t="s">
        <v>2</v>
      </c>
      <c r="E1483" s="5" t="s">
        <v>408</v>
      </c>
      <c r="F1483" s="2">
        <v>178</v>
      </c>
    </row>
    <row r="1484" spans="1:6" x14ac:dyDescent="0.2">
      <c r="A1484" s="6" t="s">
        <v>374</v>
      </c>
      <c r="B1484" s="4">
        <v>370</v>
      </c>
      <c r="C1484" s="2" t="s">
        <v>2307</v>
      </c>
      <c r="D1484" s="2" t="s">
        <v>4</v>
      </c>
      <c r="E1484" s="5" t="s">
        <v>409</v>
      </c>
      <c r="F1484" s="2">
        <v>269</v>
      </c>
    </row>
    <row r="1485" spans="1:6" x14ac:dyDescent="0.2">
      <c r="A1485" s="6" t="s">
        <v>393</v>
      </c>
      <c r="B1485" s="4">
        <v>389</v>
      </c>
      <c r="C1485" s="2" t="s">
        <v>2307</v>
      </c>
      <c r="D1485" s="2" t="s">
        <v>5</v>
      </c>
      <c r="E1485" s="5" t="s">
        <v>410</v>
      </c>
      <c r="F1485" s="2">
        <v>270</v>
      </c>
    </row>
    <row r="1486" spans="1:6" x14ac:dyDescent="0.2">
      <c r="A1486" s="6" t="s">
        <v>239</v>
      </c>
      <c r="B1486" s="4">
        <v>235</v>
      </c>
      <c r="C1486" s="2" t="s">
        <v>2308</v>
      </c>
      <c r="D1486" s="2" t="s">
        <v>3</v>
      </c>
      <c r="E1486" s="5" t="s">
        <v>412</v>
      </c>
      <c r="F1486" s="2">
        <v>285</v>
      </c>
    </row>
    <row r="1487" spans="1:6" x14ac:dyDescent="0.2">
      <c r="A1487" s="6" t="s">
        <v>294</v>
      </c>
      <c r="B1487" s="4">
        <v>290</v>
      </c>
      <c r="C1487" s="2" t="s">
        <v>2308</v>
      </c>
      <c r="D1487" s="2" t="s">
        <v>5</v>
      </c>
      <c r="E1487" s="6" t="s">
        <v>408</v>
      </c>
      <c r="F1487" s="2">
        <v>203</v>
      </c>
    </row>
    <row r="1488" spans="1:6" x14ac:dyDescent="0.2">
      <c r="A1488" s="6" t="s">
        <v>275</v>
      </c>
      <c r="B1488" s="4">
        <v>271</v>
      </c>
      <c r="C1488" s="2" t="s">
        <v>2308</v>
      </c>
      <c r="D1488" s="2" t="s">
        <v>5</v>
      </c>
      <c r="E1488" s="5" t="s">
        <v>412</v>
      </c>
      <c r="F1488" s="2">
        <v>279</v>
      </c>
    </row>
    <row r="1489" spans="1:6" x14ac:dyDescent="0.2">
      <c r="A1489" s="6" t="s">
        <v>271</v>
      </c>
      <c r="B1489" s="4">
        <v>267</v>
      </c>
      <c r="C1489" s="2" t="s">
        <v>2308</v>
      </c>
      <c r="D1489" s="2" t="s">
        <v>4</v>
      </c>
      <c r="E1489" s="7" t="s">
        <v>409</v>
      </c>
      <c r="F1489" s="2">
        <v>216</v>
      </c>
    </row>
    <row r="1490" spans="1:6" x14ac:dyDescent="0.2">
      <c r="A1490" s="6" t="s">
        <v>284</v>
      </c>
      <c r="B1490" s="4">
        <v>280</v>
      </c>
      <c r="C1490" s="2" t="s">
        <v>2308</v>
      </c>
      <c r="D1490" s="2" t="s">
        <v>5</v>
      </c>
      <c r="E1490" s="5" t="s">
        <v>409</v>
      </c>
      <c r="F1490" s="2">
        <v>142</v>
      </c>
    </row>
    <row r="1491" spans="1:6" x14ac:dyDescent="0.2">
      <c r="A1491" s="6" t="s">
        <v>362</v>
      </c>
      <c r="B1491" s="4">
        <v>358</v>
      </c>
      <c r="C1491" s="2" t="s">
        <v>2307</v>
      </c>
      <c r="D1491" s="2" t="s">
        <v>4</v>
      </c>
      <c r="E1491" s="5" t="s">
        <v>411</v>
      </c>
      <c r="F1491" s="2">
        <v>276</v>
      </c>
    </row>
    <row r="1492" spans="1:6" x14ac:dyDescent="0.2">
      <c r="A1492" s="6" t="s">
        <v>316</v>
      </c>
      <c r="B1492" s="4">
        <v>312</v>
      </c>
      <c r="C1492" s="2" t="s">
        <v>2307</v>
      </c>
      <c r="D1492" s="2" t="s">
        <v>2</v>
      </c>
      <c r="E1492" s="5" t="s">
        <v>411</v>
      </c>
      <c r="F1492" s="2">
        <v>238</v>
      </c>
    </row>
    <row r="1493" spans="1:6" x14ac:dyDescent="0.2">
      <c r="A1493" s="6" t="s">
        <v>223</v>
      </c>
      <c r="B1493" s="4">
        <v>219</v>
      </c>
      <c r="C1493" s="2" t="s">
        <v>2308</v>
      </c>
      <c r="D1493" s="2" t="s">
        <v>3</v>
      </c>
      <c r="E1493" s="7" t="s">
        <v>411</v>
      </c>
      <c r="F1493" s="2">
        <v>280</v>
      </c>
    </row>
    <row r="1494" spans="1:6" x14ac:dyDescent="0.2">
      <c r="A1494" s="6" t="s">
        <v>55</v>
      </c>
      <c r="B1494" s="4">
        <v>50</v>
      </c>
      <c r="C1494" s="2" t="s">
        <v>2309</v>
      </c>
      <c r="D1494" s="2" t="s">
        <v>3</v>
      </c>
      <c r="E1494" s="5" t="s">
        <v>412</v>
      </c>
      <c r="F1494" s="2">
        <v>290</v>
      </c>
    </row>
    <row r="1495" spans="1:6" x14ac:dyDescent="0.2">
      <c r="A1495" s="6" t="s">
        <v>349</v>
      </c>
      <c r="B1495" s="4">
        <v>345</v>
      </c>
      <c r="C1495" s="2" t="s">
        <v>2307</v>
      </c>
      <c r="D1495" s="2" t="s">
        <v>3</v>
      </c>
      <c r="E1495" s="5" t="s">
        <v>410</v>
      </c>
      <c r="F1495" s="2">
        <v>268</v>
      </c>
    </row>
    <row r="1496" spans="1:6" x14ac:dyDescent="0.2">
      <c r="A1496" s="6" t="s">
        <v>82</v>
      </c>
      <c r="B1496" s="4">
        <v>77</v>
      </c>
      <c r="C1496" s="2" t="s">
        <v>2309</v>
      </c>
      <c r="D1496" s="2" t="s">
        <v>5</v>
      </c>
      <c r="E1496" s="5" t="s">
        <v>411</v>
      </c>
      <c r="F1496" s="2">
        <v>286</v>
      </c>
    </row>
    <row r="1497" spans="1:6" x14ac:dyDescent="0.2">
      <c r="A1497" s="6" t="s">
        <v>207</v>
      </c>
      <c r="B1497" s="4">
        <v>203</v>
      </c>
      <c r="C1497" s="2" t="s">
        <v>2308</v>
      </c>
      <c r="D1497" s="2" t="s">
        <v>2</v>
      </c>
      <c r="E1497" s="6" t="s">
        <v>408</v>
      </c>
      <c r="F1497" s="2">
        <v>137</v>
      </c>
    </row>
    <row r="1498" spans="1:6" x14ac:dyDescent="0.2">
      <c r="A1498" s="6" t="s">
        <v>362</v>
      </c>
      <c r="B1498" s="4">
        <v>358</v>
      </c>
      <c r="C1498" s="2" t="s">
        <v>2307</v>
      </c>
      <c r="D1498" s="2" t="s">
        <v>4</v>
      </c>
      <c r="E1498" s="5" t="s">
        <v>409</v>
      </c>
      <c r="F1498" s="2">
        <v>208</v>
      </c>
    </row>
    <row r="1499" spans="1:6" x14ac:dyDescent="0.2">
      <c r="A1499" s="6" t="s">
        <v>290</v>
      </c>
      <c r="B1499" s="4">
        <v>286</v>
      </c>
      <c r="C1499" s="2" t="s">
        <v>2308</v>
      </c>
      <c r="D1499" s="2" t="s">
        <v>5</v>
      </c>
      <c r="E1499" s="5" t="s">
        <v>411</v>
      </c>
      <c r="F1499" s="2">
        <v>290</v>
      </c>
    </row>
    <row r="1500" spans="1:6" x14ac:dyDescent="0.2">
      <c r="A1500" s="6" t="s">
        <v>339</v>
      </c>
      <c r="B1500" s="4">
        <v>335</v>
      </c>
      <c r="C1500" s="2" t="s">
        <v>2307</v>
      </c>
      <c r="D1500" s="2" t="s">
        <v>3</v>
      </c>
      <c r="E1500" s="5" t="s">
        <v>409</v>
      </c>
      <c r="F1500" s="2">
        <v>288</v>
      </c>
    </row>
    <row r="1501" spans="1:6" x14ac:dyDescent="0.2">
      <c r="A1501" s="6" t="s">
        <v>7</v>
      </c>
      <c r="B1501" s="4">
        <v>2</v>
      </c>
      <c r="C1501" s="2" t="s">
        <v>2309</v>
      </c>
      <c r="D1501" s="2" t="s">
        <v>2</v>
      </c>
      <c r="E1501" s="5" t="s">
        <v>409</v>
      </c>
      <c r="F1501" s="2">
        <v>294</v>
      </c>
    </row>
    <row r="1502" spans="1:6" x14ac:dyDescent="0.2">
      <c r="A1502" s="6" t="s">
        <v>21</v>
      </c>
      <c r="B1502" s="4">
        <v>16</v>
      </c>
      <c r="C1502" s="2" t="s">
        <v>2309</v>
      </c>
      <c r="D1502" s="2" t="s">
        <v>2</v>
      </c>
      <c r="E1502" s="5" t="s">
        <v>411</v>
      </c>
      <c r="F1502" s="2">
        <v>150</v>
      </c>
    </row>
    <row r="1503" spans="1:6" x14ac:dyDescent="0.2">
      <c r="A1503" s="6" t="s">
        <v>174</v>
      </c>
      <c r="B1503" s="4">
        <v>169</v>
      </c>
      <c r="C1503" s="2" t="s">
        <v>2310</v>
      </c>
      <c r="D1503" s="2" t="s">
        <v>5</v>
      </c>
      <c r="E1503" s="5" t="s">
        <v>411</v>
      </c>
      <c r="F1503" s="2">
        <v>138</v>
      </c>
    </row>
    <row r="1504" spans="1:6" x14ac:dyDescent="0.2">
      <c r="A1504" s="6" t="s">
        <v>194</v>
      </c>
      <c r="B1504" s="4">
        <v>190</v>
      </c>
      <c r="C1504" s="2" t="s">
        <v>2310</v>
      </c>
      <c r="D1504" s="2" t="s">
        <v>5</v>
      </c>
      <c r="E1504" s="5" t="s">
        <v>412</v>
      </c>
      <c r="F1504" s="2">
        <v>228</v>
      </c>
    </row>
    <row r="1505" spans="1:6" x14ac:dyDescent="0.2">
      <c r="A1505" s="6" t="s">
        <v>405</v>
      </c>
      <c r="B1505" s="4">
        <v>401</v>
      </c>
      <c r="C1505" s="2" t="s">
        <v>2307</v>
      </c>
      <c r="D1505" s="2" t="s">
        <v>5</v>
      </c>
      <c r="E1505" s="5" t="s">
        <v>408</v>
      </c>
      <c r="F1505" s="2">
        <v>124</v>
      </c>
    </row>
    <row r="1506" spans="1:6" x14ac:dyDescent="0.2">
      <c r="A1506" s="6" t="s">
        <v>333</v>
      </c>
      <c r="B1506" s="4">
        <v>329</v>
      </c>
      <c r="C1506" s="2" t="s">
        <v>2307</v>
      </c>
      <c r="D1506" s="2" t="s">
        <v>3</v>
      </c>
      <c r="E1506" s="5" t="s">
        <v>412</v>
      </c>
      <c r="F1506" s="2">
        <v>236</v>
      </c>
    </row>
    <row r="1507" spans="1:6" x14ac:dyDescent="0.2">
      <c r="A1507" s="6" t="s">
        <v>35</v>
      </c>
      <c r="B1507" s="4">
        <v>30</v>
      </c>
      <c r="C1507" s="2" t="s">
        <v>2309</v>
      </c>
      <c r="D1507" s="2" t="s">
        <v>3</v>
      </c>
      <c r="E1507" s="5" t="s">
        <v>408</v>
      </c>
      <c r="F1507" s="2">
        <v>228</v>
      </c>
    </row>
    <row r="1508" spans="1:6" x14ac:dyDescent="0.2">
      <c r="A1508" s="6" t="s">
        <v>111</v>
      </c>
      <c r="B1508" s="4">
        <v>106</v>
      </c>
      <c r="C1508" s="2" t="s">
        <v>2310</v>
      </c>
      <c r="D1508" s="2" t="s">
        <v>2</v>
      </c>
      <c r="E1508" s="5" t="s">
        <v>412</v>
      </c>
      <c r="F1508" s="2">
        <v>198</v>
      </c>
    </row>
    <row r="1509" spans="1:6" x14ac:dyDescent="0.2">
      <c r="A1509" s="6" t="s">
        <v>287</v>
      </c>
      <c r="B1509" s="4">
        <v>283</v>
      </c>
      <c r="C1509" s="2" t="s">
        <v>2308</v>
      </c>
      <c r="D1509" s="2" t="s">
        <v>5</v>
      </c>
      <c r="E1509" s="5" t="s">
        <v>411</v>
      </c>
      <c r="F1509" s="2">
        <v>264</v>
      </c>
    </row>
    <row r="1510" spans="1:6" x14ac:dyDescent="0.2">
      <c r="A1510" s="6" t="s">
        <v>41</v>
      </c>
      <c r="B1510" s="4">
        <v>36</v>
      </c>
      <c r="C1510" s="2" t="s">
        <v>2309</v>
      </c>
      <c r="D1510" s="2" t="s">
        <v>3</v>
      </c>
      <c r="E1510" s="5" t="s">
        <v>409</v>
      </c>
      <c r="F1510" s="2">
        <v>157</v>
      </c>
    </row>
    <row r="1511" spans="1:6" x14ac:dyDescent="0.2">
      <c r="A1511" s="6" t="s">
        <v>189</v>
      </c>
      <c r="B1511" s="4">
        <v>184</v>
      </c>
      <c r="C1511" s="2" t="s">
        <v>2310</v>
      </c>
      <c r="D1511" s="2" t="s">
        <v>5</v>
      </c>
      <c r="E1511" s="6" t="s">
        <v>408</v>
      </c>
      <c r="F1511" s="2">
        <v>295</v>
      </c>
    </row>
    <row r="1512" spans="1:6" x14ac:dyDescent="0.2">
      <c r="A1512" s="6" t="s">
        <v>230</v>
      </c>
      <c r="B1512" s="4">
        <v>226</v>
      </c>
      <c r="C1512" s="2" t="s">
        <v>2308</v>
      </c>
      <c r="D1512" s="2" t="s">
        <v>3</v>
      </c>
      <c r="E1512" s="7" t="s">
        <v>411</v>
      </c>
      <c r="F1512" s="2">
        <v>167</v>
      </c>
    </row>
    <row r="1513" spans="1:6" x14ac:dyDescent="0.2">
      <c r="A1513" s="6" t="s">
        <v>76</v>
      </c>
      <c r="B1513" s="4">
        <v>71</v>
      </c>
      <c r="C1513" s="2" t="s">
        <v>2309</v>
      </c>
      <c r="D1513" s="2" t="s">
        <v>4</v>
      </c>
      <c r="E1513" s="5" t="s">
        <v>409</v>
      </c>
      <c r="F1513" s="2">
        <v>265</v>
      </c>
    </row>
    <row r="1514" spans="1:6" x14ac:dyDescent="0.2">
      <c r="A1514" s="6" t="s">
        <v>389</v>
      </c>
      <c r="B1514" s="4">
        <v>385</v>
      </c>
      <c r="C1514" s="2" t="s">
        <v>2307</v>
      </c>
      <c r="D1514" s="2" t="s">
        <v>5</v>
      </c>
      <c r="E1514" s="5" t="s">
        <v>408</v>
      </c>
      <c r="F1514" s="2">
        <v>258</v>
      </c>
    </row>
    <row r="1515" spans="1:6" x14ac:dyDescent="0.2">
      <c r="A1515" s="6" t="s">
        <v>125</v>
      </c>
      <c r="B1515" s="4">
        <v>120</v>
      </c>
      <c r="C1515" s="2" t="s">
        <v>2310</v>
      </c>
      <c r="D1515" s="2" t="s">
        <v>3</v>
      </c>
      <c r="E1515" s="7" t="s">
        <v>409</v>
      </c>
      <c r="F1515" s="2">
        <v>133</v>
      </c>
    </row>
    <row r="1516" spans="1:6" x14ac:dyDescent="0.2">
      <c r="A1516" s="6" t="s">
        <v>116</v>
      </c>
      <c r="B1516" s="4">
        <v>111</v>
      </c>
      <c r="C1516" s="2" t="s">
        <v>2310</v>
      </c>
      <c r="D1516" s="2" t="s">
        <v>2</v>
      </c>
      <c r="E1516" s="5" t="s">
        <v>408</v>
      </c>
      <c r="F1516" s="2">
        <v>216</v>
      </c>
    </row>
    <row r="1517" spans="1:6" x14ac:dyDescent="0.2">
      <c r="A1517" s="6" t="s">
        <v>124</v>
      </c>
      <c r="B1517" s="4">
        <v>119</v>
      </c>
      <c r="C1517" s="2" t="s">
        <v>2310</v>
      </c>
      <c r="D1517" s="2" t="s">
        <v>3</v>
      </c>
      <c r="E1517" s="6" t="s">
        <v>408</v>
      </c>
      <c r="F1517" s="2">
        <v>283</v>
      </c>
    </row>
    <row r="1518" spans="1:6" x14ac:dyDescent="0.2">
      <c r="A1518" s="6" t="s">
        <v>41</v>
      </c>
      <c r="B1518" s="4">
        <v>36</v>
      </c>
      <c r="C1518" s="2" t="s">
        <v>2309</v>
      </c>
      <c r="D1518" s="2" t="s">
        <v>3</v>
      </c>
      <c r="E1518" s="5" t="s">
        <v>410</v>
      </c>
      <c r="F1518" s="2">
        <v>180</v>
      </c>
    </row>
    <row r="1519" spans="1:6" x14ac:dyDescent="0.2">
      <c r="A1519" s="6" t="s">
        <v>76</v>
      </c>
      <c r="B1519" s="4">
        <v>71</v>
      </c>
      <c r="C1519" s="2" t="s">
        <v>2309</v>
      </c>
      <c r="D1519" s="2" t="s">
        <v>4</v>
      </c>
      <c r="E1519" s="5" t="s">
        <v>411</v>
      </c>
      <c r="F1519" s="2">
        <v>151</v>
      </c>
    </row>
    <row r="1520" spans="1:6" x14ac:dyDescent="0.2">
      <c r="A1520" s="6" t="s">
        <v>229</v>
      </c>
      <c r="B1520" s="4">
        <v>225</v>
      </c>
      <c r="C1520" s="2" t="s">
        <v>2308</v>
      </c>
      <c r="D1520" s="2" t="s">
        <v>3</v>
      </c>
      <c r="E1520" s="6" t="s">
        <v>408</v>
      </c>
      <c r="F1520" s="2">
        <v>200</v>
      </c>
    </row>
    <row r="1521" spans="1:6" x14ac:dyDescent="0.2">
      <c r="A1521" s="6" t="s">
        <v>405</v>
      </c>
      <c r="B1521" s="4">
        <v>401</v>
      </c>
      <c r="C1521" s="2" t="s">
        <v>2307</v>
      </c>
      <c r="D1521" s="2" t="s">
        <v>5</v>
      </c>
      <c r="E1521" s="5" t="s">
        <v>411</v>
      </c>
      <c r="F1521" s="2">
        <v>182</v>
      </c>
    </row>
    <row r="1522" spans="1:6" x14ac:dyDescent="0.2">
      <c r="A1522" s="6" t="s">
        <v>159</v>
      </c>
      <c r="B1522" s="4">
        <v>154</v>
      </c>
      <c r="C1522" s="2" t="s">
        <v>2310</v>
      </c>
      <c r="D1522" s="2" t="s">
        <v>4</v>
      </c>
      <c r="E1522" s="6" t="s">
        <v>408</v>
      </c>
      <c r="F1522" s="2">
        <v>183</v>
      </c>
    </row>
    <row r="1523" spans="1:6" x14ac:dyDescent="0.2">
      <c r="A1523" s="6" t="s">
        <v>87</v>
      </c>
      <c r="B1523" s="4">
        <v>82</v>
      </c>
      <c r="C1523" s="2" t="s">
        <v>2309</v>
      </c>
      <c r="D1523" s="2" t="s">
        <v>5</v>
      </c>
      <c r="E1523" s="5" t="s">
        <v>408</v>
      </c>
      <c r="F1523" s="2">
        <v>200</v>
      </c>
    </row>
    <row r="1524" spans="1:6" x14ac:dyDescent="0.2">
      <c r="A1524" s="6" t="s">
        <v>110</v>
      </c>
      <c r="B1524" s="4">
        <v>105</v>
      </c>
      <c r="C1524" s="2" t="s">
        <v>2310</v>
      </c>
      <c r="D1524" s="2" t="s">
        <v>2</v>
      </c>
      <c r="E1524" s="5" t="s">
        <v>408</v>
      </c>
      <c r="F1524" s="2">
        <v>282</v>
      </c>
    </row>
    <row r="1525" spans="1:6" x14ac:dyDescent="0.2">
      <c r="A1525" s="6" t="s">
        <v>169</v>
      </c>
      <c r="B1525" s="4">
        <v>164</v>
      </c>
      <c r="C1525" s="2" t="s">
        <v>2310</v>
      </c>
      <c r="D1525" s="2" t="s">
        <v>4</v>
      </c>
      <c r="E1525" s="5" t="s">
        <v>410</v>
      </c>
      <c r="F1525" s="2">
        <v>133</v>
      </c>
    </row>
    <row r="1526" spans="1:6" x14ac:dyDescent="0.2">
      <c r="A1526" s="6" t="s">
        <v>270</v>
      </c>
      <c r="B1526" s="4">
        <v>266</v>
      </c>
      <c r="C1526" s="2" t="s">
        <v>2308</v>
      </c>
      <c r="D1526" s="2" t="s">
        <v>4</v>
      </c>
      <c r="E1526" s="5" t="s">
        <v>410</v>
      </c>
      <c r="F1526" s="2">
        <v>230</v>
      </c>
    </row>
    <row r="1527" spans="1:6" x14ac:dyDescent="0.2">
      <c r="A1527" s="6" t="s">
        <v>89</v>
      </c>
      <c r="B1527" s="4">
        <v>84</v>
      </c>
      <c r="C1527" s="2" t="s">
        <v>2309</v>
      </c>
      <c r="D1527" s="2" t="s">
        <v>5</v>
      </c>
      <c r="E1527" s="5" t="s">
        <v>411</v>
      </c>
      <c r="F1527" s="2">
        <v>163</v>
      </c>
    </row>
    <row r="1528" spans="1:6" x14ac:dyDescent="0.2">
      <c r="A1528" s="6" t="s">
        <v>394</v>
      </c>
      <c r="B1528" s="4">
        <v>390</v>
      </c>
      <c r="C1528" s="2" t="s">
        <v>2307</v>
      </c>
      <c r="D1528" s="2" t="s">
        <v>5</v>
      </c>
      <c r="E1528" s="5" t="s">
        <v>408</v>
      </c>
      <c r="F1528" s="2">
        <v>261</v>
      </c>
    </row>
    <row r="1529" spans="1:6" x14ac:dyDescent="0.2">
      <c r="A1529" s="6" t="s">
        <v>189</v>
      </c>
      <c r="B1529" s="4">
        <v>184</v>
      </c>
      <c r="C1529" s="2" t="s">
        <v>2310</v>
      </c>
      <c r="D1529" s="2" t="s">
        <v>5</v>
      </c>
      <c r="E1529" s="5" t="s">
        <v>412</v>
      </c>
      <c r="F1529" s="2">
        <v>141</v>
      </c>
    </row>
    <row r="1530" spans="1:6" x14ac:dyDescent="0.2">
      <c r="A1530" s="6" t="s">
        <v>278</v>
      </c>
      <c r="B1530" s="4">
        <v>274</v>
      </c>
      <c r="C1530" s="2" t="s">
        <v>2308</v>
      </c>
      <c r="D1530" s="2" t="s">
        <v>5</v>
      </c>
      <c r="E1530" s="5" t="s">
        <v>409</v>
      </c>
      <c r="F1530" s="2">
        <v>265</v>
      </c>
    </row>
    <row r="1531" spans="1:6" x14ac:dyDescent="0.2">
      <c r="A1531" s="6" t="s">
        <v>91</v>
      </c>
      <c r="B1531" s="4">
        <v>86</v>
      </c>
      <c r="C1531" s="2" t="s">
        <v>2309</v>
      </c>
      <c r="D1531" s="2" t="s">
        <v>5</v>
      </c>
      <c r="E1531" s="5" t="s">
        <v>409</v>
      </c>
      <c r="F1531" s="2">
        <v>265</v>
      </c>
    </row>
    <row r="1532" spans="1:6" x14ac:dyDescent="0.2">
      <c r="A1532" s="6" t="s">
        <v>234</v>
      </c>
      <c r="B1532" s="4">
        <v>230</v>
      </c>
      <c r="C1532" s="2" t="s">
        <v>2308</v>
      </c>
      <c r="D1532" s="2" t="s">
        <v>3</v>
      </c>
      <c r="E1532" s="5" t="s">
        <v>412</v>
      </c>
      <c r="F1532" s="2">
        <v>241</v>
      </c>
    </row>
    <row r="1533" spans="1:6" x14ac:dyDescent="0.2">
      <c r="A1533" s="6" t="s">
        <v>9</v>
      </c>
      <c r="B1533" s="4">
        <v>4</v>
      </c>
      <c r="C1533" s="2" t="s">
        <v>2309</v>
      </c>
      <c r="D1533" s="2" t="s">
        <v>2</v>
      </c>
      <c r="E1533" s="5" t="s">
        <v>411</v>
      </c>
      <c r="F1533" s="2">
        <v>267</v>
      </c>
    </row>
    <row r="1534" spans="1:6" x14ac:dyDescent="0.2">
      <c r="A1534" s="6" t="s">
        <v>307</v>
      </c>
      <c r="B1534" s="4">
        <v>303</v>
      </c>
      <c r="C1534" s="2" t="s">
        <v>2307</v>
      </c>
      <c r="D1534" s="2" t="s">
        <v>2</v>
      </c>
      <c r="E1534" s="5" t="s">
        <v>412</v>
      </c>
      <c r="F1534" s="2">
        <v>195</v>
      </c>
    </row>
    <row r="1535" spans="1:6" x14ac:dyDescent="0.2">
      <c r="A1535" s="6" t="s">
        <v>289</v>
      </c>
      <c r="B1535" s="4">
        <v>285</v>
      </c>
      <c r="C1535" s="2" t="s">
        <v>2308</v>
      </c>
      <c r="D1535" s="2" t="s">
        <v>5</v>
      </c>
      <c r="E1535" s="6" t="s">
        <v>408</v>
      </c>
      <c r="F1535" s="2">
        <v>235</v>
      </c>
    </row>
    <row r="1536" spans="1:6" x14ac:dyDescent="0.2">
      <c r="A1536" s="6" t="s">
        <v>159</v>
      </c>
      <c r="B1536" s="4">
        <v>154</v>
      </c>
      <c r="C1536" s="2" t="s">
        <v>2310</v>
      </c>
      <c r="D1536" s="2" t="s">
        <v>4</v>
      </c>
      <c r="E1536" s="7" t="s">
        <v>409</v>
      </c>
      <c r="F1536" s="2">
        <v>210</v>
      </c>
    </row>
    <row r="1537" spans="1:6" x14ac:dyDescent="0.2">
      <c r="A1537" s="6" t="s">
        <v>50</v>
      </c>
      <c r="B1537" s="4">
        <v>45</v>
      </c>
      <c r="C1537" s="2" t="s">
        <v>2309</v>
      </c>
      <c r="D1537" s="2" t="s">
        <v>3</v>
      </c>
      <c r="E1537" s="5" t="s">
        <v>411</v>
      </c>
      <c r="F1537" s="2">
        <v>277</v>
      </c>
    </row>
    <row r="1538" spans="1:6" x14ac:dyDescent="0.2">
      <c r="A1538" s="6" t="s">
        <v>246</v>
      </c>
      <c r="B1538" s="4">
        <v>242</v>
      </c>
      <c r="C1538" s="2" t="s">
        <v>2308</v>
      </c>
      <c r="D1538" s="2" t="s">
        <v>3</v>
      </c>
      <c r="E1538" s="7" t="s">
        <v>411</v>
      </c>
      <c r="F1538" s="2">
        <v>300</v>
      </c>
    </row>
    <row r="1539" spans="1:6" x14ac:dyDescent="0.2">
      <c r="A1539" s="6" t="s">
        <v>351</v>
      </c>
      <c r="B1539" s="4">
        <v>347</v>
      </c>
      <c r="C1539" s="2" t="s">
        <v>2307</v>
      </c>
      <c r="D1539" s="2" t="s">
        <v>3</v>
      </c>
      <c r="E1539" s="5" t="s">
        <v>410</v>
      </c>
      <c r="F1539" s="2">
        <v>125</v>
      </c>
    </row>
    <row r="1540" spans="1:6" x14ac:dyDescent="0.2">
      <c r="A1540" s="6" t="s">
        <v>219</v>
      </c>
      <c r="B1540" s="4">
        <v>215</v>
      </c>
      <c r="C1540" s="2" t="s">
        <v>2308</v>
      </c>
      <c r="D1540" s="2" t="s">
        <v>2</v>
      </c>
      <c r="E1540" s="5" t="s">
        <v>412</v>
      </c>
      <c r="F1540" s="2">
        <v>279</v>
      </c>
    </row>
    <row r="1541" spans="1:6" x14ac:dyDescent="0.2">
      <c r="A1541" s="6" t="s">
        <v>295</v>
      </c>
      <c r="B1541" s="4">
        <v>291</v>
      </c>
      <c r="C1541" s="2" t="s">
        <v>2308</v>
      </c>
      <c r="D1541" s="2" t="s">
        <v>5</v>
      </c>
      <c r="E1541" s="5" t="s">
        <v>410</v>
      </c>
      <c r="F1541" s="2">
        <v>287</v>
      </c>
    </row>
    <row r="1542" spans="1:6" x14ac:dyDescent="0.2">
      <c r="A1542" s="6" t="s">
        <v>347</v>
      </c>
      <c r="B1542" s="4">
        <v>343</v>
      </c>
      <c r="C1542" s="2" t="s">
        <v>2307</v>
      </c>
      <c r="D1542" s="2" t="s">
        <v>3</v>
      </c>
      <c r="E1542" s="5" t="s">
        <v>410</v>
      </c>
      <c r="F1542" s="2">
        <v>276</v>
      </c>
    </row>
    <row r="1543" spans="1:6" x14ac:dyDescent="0.2">
      <c r="A1543" s="6" t="s">
        <v>197</v>
      </c>
      <c r="B1543" s="4">
        <v>193</v>
      </c>
      <c r="C1543" s="2" t="s">
        <v>2308</v>
      </c>
      <c r="D1543" s="2" t="s">
        <v>2</v>
      </c>
      <c r="E1543" s="5" t="s">
        <v>410</v>
      </c>
      <c r="F1543" s="2">
        <v>218</v>
      </c>
    </row>
    <row r="1544" spans="1:6" x14ac:dyDescent="0.2">
      <c r="A1544" s="6" t="s">
        <v>373</v>
      </c>
      <c r="B1544" s="4">
        <v>369</v>
      </c>
      <c r="C1544" s="2" t="s">
        <v>2307</v>
      </c>
      <c r="D1544" s="2" t="s">
        <v>4</v>
      </c>
      <c r="E1544" s="5" t="s">
        <v>411</v>
      </c>
      <c r="F1544" s="2">
        <v>265</v>
      </c>
    </row>
    <row r="1545" spans="1:6" x14ac:dyDescent="0.2">
      <c r="A1545" s="6" t="s">
        <v>34</v>
      </c>
      <c r="B1545" s="4">
        <v>29</v>
      </c>
      <c r="C1545" s="2" t="s">
        <v>2309</v>
      </c>
      <c r="D1545" s="2" t="s">
        <v>3</v>
      </c>
      <c r="E1545" s="5" t="s">
        <v>410</v>
      </c>
      <c r="F1545" s="2">
        <v>257</v>
      </c>
    </row>
    <row r="1546" spans="1:6" x14ac:dyDescent="0.2">
      <c r="A1546" s="6" t="s">
        <v>57</v>
      </c>
      <c r="B1546" s="4">
        <v>52</v>
      </c>
      <c r="C1546" s="2" t="s">
        <v>2309</v>
      </c>
      <c r="D1546" s="2" t="s">
        <v>4</v>
      </c>
      <c r="E1546" s="5" t="s">
        <v>408</v>
      </c>
      <c r="F1546" s="2">
        <v>180</v>
      </c>
    </row>
    <row r="1547" spans="1:6" x14ac:dyDescent="0.2">
      <c r="A1547" s="6" t="s">
        <v>328</v>
      </c>
      <c r="B1547" s="4">
        <v>324</v>
      </c>
      <c r="C1547" s="2" t="s">
        <v>2307</v>
      </c>
      <c r="D1547" s="2" t="s">
        <v>2</v>
      </c>
      <c r="E1547" s="5" t="s">
        <v>408</v>
      </c>
      <c r="F1547" s="2">
        <v>165</v>
      </c>
    </row>
    <row r="1548" spans="1:6" x14ac:dyDescent="0.2">
      <c r="A1548" s="6" t="s">
        <v>107</v>
      </c>
      <c r="B1548" s="4">
        <v>102</v>
      </c>
      <c r="C1548" s="2" t="s">
        <v>2310</v>
      </c>
      <c r="D1548" s="2" t="s">
        <v>2</v>
      </c>
      <c r="E1548" s="5" t="s">
        <v>411</v>
      </c>
      <c r="F1548" s="2">
        <v>141</v>
      </c>
    </row>
    <row r="1549" spans="1:6" x14ac:dyDescent="0.2">
      <c r="A1549" s="6" t="s">
        <v>393</v>
      </c>
      <c r="B1549" s="4">
        <v>389</v>
      </c>
      <c r="C1549" s="2" t="s">
        <v>2307</v>
      </c>
      <c r="D1549" s="2" t="s">
        <v>5</v>
      </c>
      <c r="E1549" s="5" t="s">
        <v>411</v>
      </c>
      <c r="F1549" s="2">
        <v>263</v>
      </c>
    </row>
    <row r="1550" spans="1:6" x14ac:dyDescent="0.2">
      <c r="A1550" s="6" t="s">
        <v>305</v>
      </c>
      <c r="B1550" s="4">
        <v>301</v>
      </c>
      <c r="C1550" s="2" t="s">
        <v>2307</v>
      </c>
      <c r="D1550" s="2" t="s">
        <v>2</v>
      </c>
      <c r="E1550" s="5" t="s">
        <v>408</v>
      </c>
      <c r="F1550" s="2">
        <v>283</v>
      </c>
    </row>
    <row r="1551" spans="1:6" x14ac:dyDescent="0.2">
      <c r="A1551" s="6" t="s">
        <v>185</v>
      </c>
      <c r="B1551" s="4">
        <v>180</v>
      </c>
      <c r="C1551" s="2" t="s">
        <v>2310</v>
      </c>
      <c r="D1551" s="2" t="s">
        <v>5</v>
      </c>
      <c r="E1551" s="7" t="s">
        <v>410</v>
      </c>
      <c r="F1551" s="2">
        <v>152</v>
      </c>
    </row>
    <row r="1552" spans="1:6" x14ac:dyDescent="0.2">
      <c r="A1552" s="6" t="s">
        <v>399</v>
      </c>
      <c r="B1552" s="4">
        <v>395</v>
      </c>
      <c r="C1552" s="2" t="s">
        <v>2307</v>
      </c>
      <c r="D1552" s="2" t="s">
        <v>5</v>
      </c>
      <c r="E1552" s="5" t="s">
        <v>411</v>
      </c>
      <c r="F1552" s="2">
        <v>249</v>
      </c>
    </row>
    <row r="1553" spans="1:6" x14ac:dyDescent="0.2">
      <c r="A1553" s="6" t="s">
        <v>166</v>
      </c>
      <c r="B1553" s="4">
        <v>161</v>
      </c>
      <c r="C1553" s="2" t="s">
        <v>2310</v>
      </c>
      <c r="D1553" s="2" t="s">
        <v>4</v>
      </c>
      <c r="E1553" s="5" t="s">
        <v>410</v>
      </c>
      <c r="F1553" s="2">
        <v>240</v>
      </c>
    </row>
    <row r="1554" spans="1:6" x14ac:dyDescent="0.2">
      <c r="A1554" s="6" t="s">
        <v>125</v>
      </c>
      <c r="B1554" s="4">
        <v>120</v>
      </c>
      <c r="C1554" s="2" t="s">
        <v>2310</v>
      </c>
      <c r="D1554" s="2" t="s">
        <v>3</v>
      </c>
      <c r="E1554" s="6" t="s">
        <v>408</v>
      </c>
      <c r="F1554" s="2">
        <v>201</v>
      </c>
    </row>
    <row r="1555" spans="1:6" x14ac:dyDescent="0.2">
      <c r="A1555" s="6" t="s">
        <v>377</v>
      </c>
      <c r="B1555" s="4">
        <v>373</v>
      </c>
      <c r="C1555" s="2" t="s">
        <v>2307</v>
      </c>
      <c r="D1555" s="2" t="s">
        <v>4</v>
      </c>
      <c r="E1555" s="5" t="s">
        <v>409</v>
      </c>
      <c r="F1555" s="2">
        <v>224</v>
      </c>
    </row>
    <row r="1556" spans="1:6" x14ac:dyDescent="0.2">
      <c r="A1556" s="6" t="s">
        <v>264</v>
      </c>
      <c r="B1556" s="4">
        <v>260</v>
      </c>
      <c r="C1556" s="2" t="s">
        <v>2308</v>
      </c>
      <c r="D1556" s="2" t="s">
        <v>4</v>
      </c>
      <c r="E1556" s="5" t="s">
        <v>411</v>
      </c>
      <c r="F1556" s="2">
        <v>186</v>
      </c>
    </row>
    <row r="1557" spans="1:6" x14ac:dyDescent="0.2">
      <c r="A1557" s="6" t="s">
        <v>221</v>
      </c>
      <c r="B1557" s="4">
        <v>217</v>
      </c>
      <c r="C1557" s="2" t="s">
        <v>2308</v>
      </c>
      <c r="D1557" s="2" t="s">
        <v>3</v>
      </c>
      <c r="E1557" s="6" t="s">
        <v>408</v>
      </c>
      <c r="F1557" s="2">
        <v>284</v>
      </c>
    </row>
    <row r="1558" spans="1:6" x14ac:dyDescent="0.2">
      <c r="A1558" s="6" t="s">
        <v>302</v>
      </c>
      <c r="B1558" s="4">
        <v>298</v>
      </c>
      <c r="C1558" s="2" t="s">
        <v>2307</v>
      </c>
      <c r="D1558" s="2" t="s">
        <v>2</v>
      </c>
      <c r="E1558" s="5" t="s">
        <v>412</v>
      </c>
      <c r="F1558" s="2">
        <v>230</v>
      </c>
    </row>
    <row r="1559" spans="1:6" x14ac:dyDescent="0.2">
      <c r="A1559" s="6" t="s">
        <v>80</v>
      </c>
      <c r="B1559" s="4">
        <v>75</v>
      </c>
      <c r="C1559" s="2" t="s">
        <v>2309</v>
      </c>
      <c r="D1559" s="2" t="s">
        <v>5</v>
      </c>
      <c r="E1559" s="5" t="s">
        <v>410</v>
      </c>
      <c r="F1559" s="2">
        <v>245</v>
      </c>
    </row>
    <row r="1560" spans="1:6" x14ac:dyDescent="0.2">
      <c r="A1560" s="6" t="s">
        <v>169</v>
      </c>
      <c r="B1560" s="4">
        <v>164</v>
      </c>
      <c r="C1560" s="2" t="s">
        <v>2310</v>
      </c>
      <c r="D1560" s="2" t="s">
        <v>4</v>
      </c>
      <c r="E1560" s="5" t="s">
        <v>412</v>
      </c>
      <c r="F1560" s="2">
        <v>159</v>
      </c>
    </row>
    <row r="1561" spans="1:6" x14ac:dyDescent="0.2">
      <c r="A1561" s="6" t="s">
        <v>162</v>
      </c>
      <c r="B1561" s="4">
        <v>157</v>
      </c>
      <c r="C1561" s="2" t="s">
        <v>2310</v>
      </c>
      <c r="D1561" s="2" t="s">
        <v>4</v>
      </c>
      <c r="E1561" s="6" t="s">
        <v>408</v>
      </c>
      <c r="F1561" s="2">
        <v>155</v>
      </c>
    </row>
    <row r="1562" spans="1:6" x14ac:dyDescent="0.2">
      <c r="A1562" s="6" t="s">
        <v>72</v>
      </c>
      <c r="B1562" s="4">
        <v>67</v>
      </c>
      <c r="C1562" s="2" t="s">
        <v>2309</v>
      </c>
      <c r="D1562" s="2" t="s">
        <v>4</v>
      </c>
      <c r="E1562" s="5" t="s">
        <v>412</v>
      </c>
      <c r="F1562" s="2">
        <v>131</v>
      </c>
    </row>
    <row r="1563" spans="1:6" x14ac:dyDescent="0.2">
      <c r="A1563" s="6" t="s">
        <v>30</v>
      </c>
      <c r="B1563" s="4">
        <v>25</v>
      </c>
      <c r="C1563" s="2" t="s">
        <v>2309</v>
      </c>
      <c r="D1563" s="2" t="s">
        <v>2</v>
      </c>
      <c r="E1563" s="5" t="s">
        <v>412</v>
      </c>
      <c r="F1563" s="2">
        <v>124</v>
      </c>
    </row>
    <row r="1564" spans="1:6" x14ac:dyDescent="0.2">
      <c r="A1564" s="6" t="s">
        <v>248</v>
      </c>
      <c r="B1564" s="4">
        <v>244</v>
      </c>
      <c r="C1564" s="2" t="s">
        <v>2308</v>
      </c>
      <c r="D1564" s="2" t="s">
        <v>4</v>
      </c>
      <c r="E1564" s="5" t="s">
        <v>410</v>
      </c>
      <c r="F1564" s="2">
        <v>245</v>
      </c>
    </row>
    <row r="1565" spans="1:6" x14ac:dyDescent="0.2">
      <c r="A1565" s="6" t="s">
        <v>56</v>
      </c>
      <c r="B1565" s="4">
        <v>51</v>
      </c>
      <c r="C1565" s="2" t="s">
        <v>2309</v>
      </c>
      <c r="D1565" s="2" t="s">
        <v>4</v>
      </c>
      <c r="E1565" s="5" t="s">
        <v>408</v>
      </c>
      <c r="F1565" s="2">
        <v>153</v>
      </c>
    </row>
    <row r="1566" spans="1:6" x14ac:dyDescent="0.2">
      <c r="A1566" s="6" t="s">
        <v>110</v>
      </c>
      <c r="B1566" s="4">
        <v>105</v>
      </c>
      <c r="C1566" s="2" t="s">
        <v>2310</v>
      </c>
      <c r="D1566" s="2" t="s">
        <v>2</v>
      </c>
      <c r="E1566" s="5" t="s">
        <v>410</v>
      </c>
      <c r="F1566" s="2">
        <v>140</v>
      </c>
    </row>
    <row r="1567" spans="1:6" x14ac:dyDescent="0.2">
      <c r="A1567" s="6" t="s">
        <v>146</v>
      </c>
      <c r="B1567" s="4">
        <v>141</v>
      </c>
      <c r="C1567" s="2" t="s">
        <v>2310</v>
      </c>
      <c r="D1567" s="2" t="s">
        <v>4</v>
      </c>
      <c r="E1567" s="5" t="s">
        <v>412</v>
      </c>
      <c r="F1567" s="2">
        <v>230</v>
      </c>
    </row>
    <row r="1568" spans="1:6" x14ac:dyDescent="0.2">
      <c r="A1568" s="6" t="s">
        <v>362</v>
      </c>
      <c r="B1568" s="4">
        <v>358</v>
      </c>
      <c r="C1568" s="2" t="s">
        <v>2307</v>
      </c>
      <c r="D1568" s="2" t="s">
        <v>4</v>
      </c>
      <c r="E1568" s="5" t="s">
        <v>412</v>
      </c>
      <c r="F1568" s="2">
        <v>156</v>
      </c>
    </row>
    <row r="1569" spans="1:6" x14ac:dyDescent="0.2">
      <c r="A1569" s="6" t="s">
        <v>166</v>
      </c>
      <c r="B1569" s="4">
        <v>161</v>
      </c>
      <c r="C1569" s="2" t="s">
        <v>2310</v>
      </c>
      <c r="D1569" s="2" t="s">
        <v>4</v>
      </c>
      <c r="E1569" s="5" t="s">
        <v>412</v>
      </c>
      <c r="F1569" s="2">
        <v>134</v>
      </c>
    </row>
    <row r="1570" spans="1:6" x14ac:dyDescent="0.2">
      <c r="A1570" s="6" t="s">
        <v>176</v>
      </c>
      <c r="B1570" s="4">
        <v>171</v>
      </c>
      <c r="C1570" s="2" t="s">
        <v>2310</v>
      </c>
      <c r="D1570" s="2" t="s">
        <v>5</v>
      </c>
      <c r="E1570" s="5" t="s">
        <v>411</v>
      </c>
      <c r="F1570" s="2">
        <v>141</v>
      </c>
    </row>
    <row r="1571" spans="1:6" x14ac:dyDescent="0.2">
      <c r="A1571" s="6" t="s">
        <v>307</v>
      </c>
      <c r="B1571" s="4">
        <v>303</v>
      </c>
      <c r="C1571" s="2" t="s">
        <v>2307</v>
      </c>
      <c r="D1571" s="2" t="s">
        <v>2</v>
      </c>
      <c r="E1571" s="5" t="s">
        <v>411</v>
      </c>
      <c r="F1571" s="2">
        <v>246</v>
      </c>
    </row>
    <row r="1572" spans="1:6" x14ac:dyDescent="0.2">
      <c r="A1572" s="6" t="s">
        <v>63</v>
      </c>
      <c r="B1572" s="4">
        <v>58</v>
      </c>
      <c r="C1572" s="2" t="s">
        <v>2309</v>
      </c>
      <c r="D1572" s="2" t="s">
        <v>4</v>
      </c>
      <c r="E1572" s="5" t="s">
        <v>408</v>
      </c>
      <c r="F1572" s="2">
        <v>280</v>
      </c>
    </row>
    <row r="1573" spans="1:6" x14ac:dyDescent="0.2">
      <c r="A1573" s="6" t="s">
        <v>137</v>
      </c>
      <c r="B1573" s="4">
        <v>132</v>
      </c>
      <c r="C1573" s="2" t="s">
        <v>2310</v>
      </c>
      <c r="D1573" s="2" t="s">
        <v>3</v>
      </c>
      <c r="E1573" s="6" t="s">
        <v>408</v>
      </c>
      <c r="F1573" s="2">
        <v>136</v>
      </c>
    </row>
    <row r="1574" spans="1:6" x14ac:dyDescent="0.2">
      <c r="A1574" s="6" t="s">
        <v>40</v>
      </c>
      <c r="B1574" s="4">
        <v>35</v>
      </c>
      <c r="C1574" s="2" t="s">
        <v>2309</v>
      </c>
      <c r="D1574" s="2" t="s">
        <v>3</v>
      </c>
      <c r="E1574" s="5" t="s">
        <v>409</v>
      </c>
      <c r="F1574" s="2">
        <v>216</v>
      </c>
    </row>
    <row r="1575" spans="1:6" x14ac:dyDescent="0.2">
      <c r="A1575" s="6" t="s">
        <v>405</v>
      </c>
      <c r="B1575" s="4">
        <v>401</v>
      </c>
      <c r="C1575" s="2" t="s">
        <v>2307</v>
      </c>
      <c r="D1575" s="2" t="s">
        <v>5</v>
      </c>
      <c r="E1575" s="5" t="s">
        <v>410</v>
      </c>
      <c r="F1575" s="2">
        <v>262</v>
      </c>
    </row>
    <row r="1576" spans="1:6" x14ac:dyDescent="0.2">
      <c r="A1576" s="6" t="s">
        <v>187</v>
      </c>
      <c r="B1576" s="4">
        <v>182</v>
      </c>
      <c r="C1576" s="2" t="s">
        <v>2310</v>
      </c>
      <c r="D1576" s="2" t="s">
        <v>5</v>
      </c>
      <c r="E1576" s="5" t="s">
        <v>411</v>
      </c>
      <c r="F1576" s="2">
        <v>156</v>
      </c>
    </row>
    <row r="1577" spans="1:6" x14ac:dyDescent="0.2">
      <c r="A1577" s="6" t="s">
        <v>108</v>
      </c>
      <c r="B1577" s="4">
        <v>103</v>
      </c>
      <c r="C1577" s="2" t="s">
        <v>2310</v>
      </c>
      <c r="D1577" s="2" t="s">
        <v>2</v>
      </c>
      <c r="E1577" s="5" t="s">
        <v>410</v>
      </c>
      <c r="F1577" s="2">
        <v>262</v>
      </c>
    </row>
    <row r="1578" spans="1:6" x14ac:dyDescent="0.2">
      <c r="A1578" s="6" t="s">
        <v>231</v>
      </c>
      <c r="B1578" s="4">
        <v>227</v>
      </c>
      <c r="C1578" s="2" t="s">
        <v>2308</v>
      </c>
      <c r="D1578" s="2" t="s">
        <v>3</v>
      </c>
      <c r="E1578" s="7" t="s">
        <v>409</v>
      </c>
      <c r="F1578" s="2">
        <v>151</v>
      </c>
    </row>
    <row r="1579" spans="1:6" x14ac:dyDescent="0.2">
      <c r="A1579" s="6" t="s">
        <v>128</v>
      </c>
      <c r="B1579" s="4">
        <v>123</v>
      </c>
      <c r="C1579" s="2" t="s">
        <v>2310</v>
      </c>
      <c r="D1579" s="2" t="s">
        <v>3</v>
      </c>
      <c r="E1579" s="6" t="s">
        <v>408</v>
      </c>
      <c r="F1579" s="2">
        <v>128</v>
      </c>
    </row>
    <row r="1580" spans="1:6" x14ac:dyDescent="0.2">
      <c r="A1580" s="6" t="s">
        <v>295</v>
      </c>
      <c r="B1580" s="4">
        <v>291</v>
      </c>
      <c r="C1580" s="2" t="s">
        <v>2308</v>
      </c>
      <c r="D1580" s="2" t="s">
        <v>5</v>
      </c>
      <c r="E1580" s="6" t="s">
        <v>408</v>
      </c>
      <c r="F1580" s="2">
        <v>288</v>
      </c>
    </row>
    <row r="1581" spans="1:6" x14ac:dyDescent="0.2">
      <c r="A1581" s="6" t="s">
        <v>269</v>
      </c>
      <c r="B1581" s="4">
        <v>265</v>
      </c>
      <c r="C1581" s="2" t="s">
        <v>2308</v>
      </c>
      <c r="D1581" s="2" t="s">
        <v>4</v>
      </c>
      <c r="E1581" s="5" t="s">
        <v>411</v>
      </c>
      <c r="F1581" s="2">
        <v>170</v>
      </c>
    </row>
    <row r="1582" spans="1:6" x14ac:dyDescent="0.2">
      <c r="A1582" s="6" t="s">
        <v>58</v>
      </c>
      <c r="B1582" s="4">
        <v>53</v>
      </c>
      <c r="C1582" s="2" t="s">
        <v>2309</v>
      </c>
      <c r="D1582" s="2" t="s">
        <v>4</v>
      </c>
      <c r="E1582" s="5" t="s">
        <v>411</v>
      </c>
      <c r="F1582" s="2">
        <v>250</v>
      </c>
    </row>
    <row r="1583" spans="1:6" x14ac:dyDescent="0.2">
      <c r="A1583" s="6" t="s">
        <v>330</v>
      </c>
      <c r="B1583" s="4">
        <v>326</v>
      </c>
      <c r="C1583" s="2" t="s">
        <v>2307</v>
      </c>
      <c r="D1583" s="2" t="s">
        <v>3</v>
      </c>
      <c r="E1583" s="5" t="s">
        <v>408</v>
      </c>
      <c r="F1583" s="2">
        <v>229</v>
      </c>
    </row>
    <row r="1584" spans="1:6" x14ac:dyDescent="0.2">
      <c r="A1584" s="6" t="s">
        <v>73</v>
      </c>
      <c r="B1584" s="4">
        <v>68</v>
      </c>
      <c r="C1584" s="2" t="s">
        <v>2309</v>
      </c>
      <c r="D1584" s="2" t="s">
        <v>4</v>
      </c>
      <c r="E1584" s="5" t="s">
        <v>412</v>
      </c>
      <c r="F1584" s="2">
        <v>267</v>
      </c>
    </row>
    <row r="1585" spans="1:6" x14ac:dyDescent="0.2">
      <c r="A1585" s="6" t="s">
        <v>196</v>
      </c>
      <c r="B1585" s="4">
        <v>192</v>
      </c>
      <c r="C1585" s="2" t="s">
        <v>2310</v>
      </c>
      <c r="D1585" s="2" t="s">
        <v>5</v>
      </c>
      <c r="E1585" s="7" t="s">
        <v>410</v>
      </c>
      <c r="F1585" s="2">
        <v>147</v>
      </c>
    </row>
    <row r="1586" spans="1:6" x14ac:dyDescent="0.2">
      <c r="A1586" s="6" t="s">
        <v>242</v>
      </c>
      <c r="B1586" s="4">
        <v>238</v>
      </c>
      <c r="C1586" s="2" t="s">
        <v>2308</v>
      </c>
      <c r="D1586" s="2" t="s">
        <v>3</v>
      </c>
      <c r="E1586" s="7" t="s">
        <v>410</v>
      </c>
      <c r="F1586" s="2">
        <v>275</v>
      </c>
    </row>
    <row r="1587" spans="1:6" x14ac:dyDescent="0.2">
      <c r="A1587" s="6" t="s">
        <v>25</v>
      </c>
      <c r="B1587" s="4">
        <v>20</v>
      </c>
      <c r="C1587" s="2" t="s">
        <v>2309</v>
      </c>
      <c r="D1587" s="2" t="s">
        <v>2</v>
      </c>
      <c r="E1587" s="5" t="s">
        <v>409</v>
      </c>
      <c r="F1587" s="2">
        <v>244</v>
      </c>
    </row>
    <row r="1588" spans="1:6" x14ac:dyDescent="0.2">
      <c r="A1588" s="6" t="s">
        <v>352</v>
      </c>
      <c r="B1588" s="4">
        <v>348</v>
      </c>
      <c r="C1588" s="2" t="s">
        <v>2307</v>
      </c>
      <c r="D1588" s="2" t="s">
        <v>3</v>
      </c>
      <c r="E1588" s="5" t="s">
        <v>412</v>
      </c>
      <c r="F1588" s="2">
        <v>150</v>
      </c>
    </row>
    <row r="1589" spans="1:6" x14ac:dyDescent="0.2">
      <c r="A1589" s="6" t="s">
        <v>42</v>
      </c>
      <c r="B1589" s="4">
        <v>37</v>
      </c>
      <c r="C1589" s="2" t="s">
        <v>2309</v>
      </c>
      <c r="D1589" s="2" t="s">
        <v>3</v>
      </c>
      <c r="E1589" s="5" t="s">
        <v>408</v>
      </c>
      <c r="F1589" s="2">
        <v>160</v>
      </c>
    </row>
    <row r="1590" spans="1:6" x14ac:dyDescent="0.2">
      <c r="A1590" s="6" t="s">
        <v>110</v>
      </c>
      <c r="B1590" s="4">
        <v>105</v>
      </c>
      <c r="C1590" s="2" t="s">
        <v>2310</v>
      </c>
      <c r="D1590" s="2" t="s">
        <v>2</v>
      </c>
      <c r="E1590" s="5" t="s">
        <v>412</v>
      </c>
      <c r="F1590" s="2">
        <v>141</v>
      </c>
    </row>
    <row r="1591" spans="1:6" x14ac:dyDescent="0.2">
      <c r="A1591" s="6" t="s">
        <v>211</v>
      </c>
      <c r="B1591" s="4">
        <v>207</v>
      </c>
      <c r="C1591" s="2" t="s">
        <v>2308</v>
      </c>
      <c r="D1591" s="2" t="s">
        <v>2</v>
      </c>
      <c r="E1591" s="6" t="s">
        <v>408</v>
      </c>
      <c r="F1591" s="2">
        <v>131</v>
      </c>
    </row>
    <row r="1592" spans="1:6" x14ac:dyDescent="0.2">
      <c r="A1592" s="6" t="s">
        <v>296</v>
      </c>
      <c r="B1592" s="4">
        <v>292</v>
      </c>
      <c r="C1592" s="2" t="s">
        <v>2308</v>
      </c>
      <c r="D1592" s="2" t="s">
        <v>5</v>
      </c>
      <c r="E1592" s="5" t="s">
        <v>411</v>
      </c>
      <c r="F1592" s="2">
        <v>284</v>
      </c>
    </row>
    <row r="1593" spans="1:6" x14ac:dyDescent="0.2">
      <c r="A1593" s="6" t="s">
        <v>311</v>
      </c>
      <c r="B1593" s="4">
        <v>307</v>
      </c>
      <c r="C1593" s="2" t="s">
        <v>2307</v>
      </c>
      <c r="D1593" s="2" t="s">
        <v>2</v>
      </c>
      <c r="E1593" s="5" t="s">
        <v>408</v>
      </c>
      <c r="F1593" s="2">
        <v>255</v>
      </c>
    </row>
    <row r="1594" spans="1:6" x14ac:dyDescent="0.2">
      <c r="A1594" s="6" t="s">
        <v>249</v>
      </c>
      <c r="B1594" s="4">
        <v>245</v>
      </c>
      <c r="C1594" s="2" t="s">
        <v>2308</v>
      </c>
      <c r="D1594" s="2" t="s">
        <v>4</v>
      </c>
      <c r="E1594" s="5" t="s">
        <v>410</v>
      </c>
      <c r="F1594" s="2">
        <v>206</v>
      </c>
    </row>
    <row r="1595" spans="1:6" x14ac:dyDescent="0.2">
      <c r="A1595" s="6" t="s">
        <v>259</v>
      </c>
      <c r="B1595" s="4">
        <v>255</v>
      </c>
      <c r="C1595" s="2" t="s">
        <v>2308</v>
      </c>
      <c r="D1595" s="2" t="s">
        <v>4</v>
      </c>
      <c r="E1595" s="7" t="s">
        <v>409</v>
      </c>
      <c r="F1595" s="2">
        <v>196</v>
      </c>
    </row>
    <row r="1596" spans="1:6" x14ac:dyDescent="0.2">
      <c r="A1596" s="6" t="s">
        <v>273</v>
      </c>
      <c r="B1596" s="4">
        <v>269</v>
      </c>
      <c r="C1596" s="2" t="s">
        <v>2308</v>
      </c>
      <c r="D1596" s="2" t="s">
        <v>4</v>
      </c>
      <c r="E1596" s="5" t="s">
        <v>410</v>
      </c>
      <c r="F1596" s="2">
        <v>156</v>
      </c>
    </row>
    <row r="1597" spans="1:6" x14ac:dyDescent="0.2">
      <c r="A1597" s="6" t="s">
        <v>62</v>
      </c>
      <c r="B1597" s="4">
        <v>57</v>
      </c>
      <c r="C1597" s="2" t="s">
        <v>2309</v>
      </c>
      <c r="D1597" s="2" t="s">
        <v>4</v>
      </c>
      <c r="E1597" s="5" t="s">
        <v>408</v>
      </c>
      <c r="F1597" s="2">
        <v>145</v>
      </c>
    </row>
    <row r="1598" spans="1:6" x14ac:dyDescent="0.2">
      <c r="A1598" s="6" t="s">
        <v>170</v>
      </c>
      <c r="B1598" s="4">
        <v>165</v>
      </c>
      <c r="C1598" s="2" t="s">
        <v>2310</v>
      </c>
      <c r="D1598" s="2" t="s">
        <v>4</v>
      </c>
      <c r="E1598" s="5" t="s">
        <v>410</v>
      </c>
      <c r="F1598" s="2">
        <v>163</v>
      </c>
    </row>
    <row r="1599" spans="1:6" x14ac:dyDescent="0.2">
      <c r="A1599" s="6" t="s">
        <v>151</v>
      </c>
      <c r="B1599" s="4">
        <v>146</v>
      </c>
      <c r="C1599" s="2" t="s">
        <v>2310</v>
      </c>
      <c r="D1599" s="2" t="s">
        <v>4</v>
      </c>
      <c r="E1599" s="5" t="s">
        <v>410</v>
      </c>
      <c r="F1599" s="2">
        <v>191</v>
      </c>
    </row>
    <row r="1600" spans="1:6" x14ac:dyDescent="0.2">
      <c r="A1600" s="6" t="s">
        <v>343</v>
      </c>
      <c r="B1600" s="4">
        <v>339</v>
      </c>
      <c r="C1600" s="2" t="s">
        <v>2307</v>
      </c>
      <c r="D1600" s="2" t="s">
        <v>3</v>
      </c>
      <c r="E1600" s="5" t="s">
        <v>411</v>
      </c>
      <c r="F1600" s="2">
        <v>260</v>
      </c>
    </row>
    <row r="1601" spans="1:6" x14ac:dyDescent="0.2">
      <c r="A1601" s="6" t="s">
        <v>138</v>
      </c>
      <c r="B1601" s="4">
        <v>133</v>
      </c>
      <c r="C1601" s="2" t="s">
        <v>2310</v>
      </c>
      <c r="D1601" s="2" t="s">
        <v>3</v>
      </c>
      <c r="E1601" s="7" t="s">
        <v>409</v>
      </c>
      <c r="F1601" s="2">
        <v>266</v>
      </c>
    </row>
    <row r="1602" spans="1:6" x14ac:dyDescent="0.2">
      <c r="A1602" s="6" t="s">
        <v>230</v>
      </c>
      <c r="B1602" s="4">
        <v>226</v>
      </c>
      <c r="C1602" s="2" t="s">
        <v>2308</v>
      </c>
      <c r="D1602" s="2" t="s">
        <v>3</v>
      </c>
      <c r="E1602" s="7" t="s">
        <v>410</v>
      </c>
      <c r="F1602" s="2">
        <v>290</v>
      </c>
    </row>
    <row r="1603" spans="1:6" x14ac:dyDescent="0.2">
      <c r="A1603" s="6" t="s">
        <v>346</v>
      </c>
      <c r="B1603" s="4">
        <v>342</v>
      </c>
      <c r="C1603" s="2" t="s">
        <v>2307</v>
      </c>
      <c r="D1603" s="2" t="s">
        <v>3</v>
      </c>
      <c r="E1603" s="5" t="s">
        <v>409</v>
      </c>
      <c r="F1603" s="2">
        <v>125</v>
      </c>
    </row>
    <row r="1604" spans="1:6" x14ac:dyDescent="0.2">
      <c r="A1604" s="6" t="s">
        <v>382</v>
      </c>
      <c r="B1604" s="4">
        <v>378</v>
      </c>
      <c r="C1604" s="2" t="s">
        <v>2307</v>
      </c>
      <c r="D1604" s="2" t="s">
        <v>5</v>
      </c>
      <c r="E1604" s="5" t="s">
        <v>411</v>
      </c>
      <c r="F1604" s="2">
        <v>143</v>
      </c>
    </row>
    <row r="1605" spans="1:6" x14ac:dyDescent="0.2">
      <c r="A1605" s="6" t="s">
        <v>272</v>
      </c>
      <c r="B1605" s="4">
        <v>268</v>
      </c>
      <c r="C1605" s="2" t="s">
        <v>2308</v>
      </c>
      <c r="D1605" s="2" t="s">
        <v>4</v>
      </c>
      <c r="E1605" s="5" t="s">
        <v>410</v>
      </c>
      <c r="F1605" s="2">
        <v>170</v>
      </c>
    </row>
    <row r="1606" spans="1:6" x14ac:dyDescent="0.2">
      <c r="A1606" s="6" t="s">
        <v>64</v>
      </c>
      <c r="B1606" s="4">
        <v>59</v>
      </c>
      <c r="C1606" s="2" t="s">
        <v>2309</v>
      </c>
      <c r="D1606" s="2" t="s">
        <v>4</v>
      </c>
      <c r="E1606" s="5" t="s">
        <v>411</v>
      </c>
      <c r="F1606" s="2">
        <v>246</v>
      </c>
    </row>
    <row r="1607" spans="1:6" x14ac:dyDescent="0.2">
      <c r="A1607" s="6" t="s">
        <v>211</v>
      </c>
      <c r="B1607" s="4">
        <v>207</v>
      </c>
      <c r="C1607" s="2" t="s">
        <v>2308</v>
      </c>
      <c r="D1607" s="2" t="s">
        <v>2</v>
      </c>
      <c r="E1607" s="5" t="s">
        <v>409</v>
      </c>
      <c r="F1607" s="2">
        <v>277</v>
      </c>
    </row>
    <row r="1608" spans="1:6" x14ac:dyDescent="0.2">
      <c r="A1608" s="6" t="s">
        <v>7</v>
      </c>
      <c r="B1608" s="4">
        <v>2</v>
      </c>
      <c r="C1608" s="2" t="s">
        <v>2309</v>
      </c>
      <c r="D1608" s="2" t="s">
        <v>2</v>
      </c>
      <c r="E1608" s="5" t="s">
        <v>412</v>
      </c>
      <c r="F1608" s="2">
        <v>125</v>
      </c>
    </row>
    <row r="1609" spans="1:6" x14ac:dyDescent="0.2">
      <c r="A1609" s="6" t="s">
        <v>247</v>
      </c>
      <c r="B1609" s="4">
        <v>243</v>
      </c>
      <c r="C1609" s="2" t="s">
        <v>2308</v>
      </c>
      <c r="D1609" s="2" t="s">
        <v>4</v>
      </c>
      <c r="E1609" s="5" t="s">
        <v>410</v>
      </c>
      <c r="F1609" s="2">
        <v>298</v>
      </c>
    </row>
    <row r="1610" spans="1:6" x14ac:dyDescent="0.2">
      <c r="A1610" s="6" t="s">
        <v>222</v>
      </c>
      <c r="B1610" s="4">
        <v>218</v>
      </c>
      <c r="C1610" s="2" t="s">
        <v>2308</v>
      </c>
      <c r="D1610" s="2" t="s">
        <v>3</v>
      </c>
      <c r="E1610" s="5" t="s">
        <v>412</v>
      </c>
      <c r="F1610" s="2">
        <v>122</v>
      </c>
    </row>
    <row r="1611" spans="1:6" x14ac:dyDescent="0.2">
      <c r="A1611" s="6" t="s">
        <v>48</v>
      </c>
      <c r="B1611" s="4">
        <v>43</v>
      </c>
      <c r="C1611" s="2" t="s">
        <v>2309</v>
      </c>
      <c r="D1611" s="2" t="s">
        <v>3</v>
      </c>
      <c r="E1611" s="5" t="s">
        <v>411</v>
      </c>
      <c r="F1611" s="2">
        <v>189</v>
      </c>
    </row>
    <row r="1612" spans="1:6" x14ac:dyDescent="0.2">
      <c r="A1612" s="6" t="s">
        <v>186</v>
      </c>
      <c r="B1612" s="4">
        <v>181</v>
      </c>
      <c r="C1612" s="2" t="s">
        <v>2310</v>
      </c>
      <c r="D1612" s="2" t="s">
        <v>5</v>
      </c>
      <c r="E1612" s="7" t="s">
        <v>409</v>
      </c>
      <c r="F1612" s="2">
        <v>294</v>
      </c>
    </row>
    <row r="1613" spans="1:6" x14ac:dyDescent="0.2">
      <c r="A1613" s="6" t="s">
        <v>110</v>
      </c>
      <c r="B1613" s="4">
        <v>105</v>
      </c>
      <c r="C1613" s="2" t="s">
        <v>2310</v>
      </c>
      <c r="D1613" s="2" t="s">
        <v>2</v>
      </c>
      <c r="E1613" s="5" t="s">
        <v>411</v>
      </c>
      <c r="F1613" s="2">
        <v>285</v>
      </c>
    </row>
    <row r="1614" spans="1:6" x14ac:dyDescent="0.2">
      <c r="A1614" s="6" t="s">
        <v>316</v>
      </c>
      <c r="B1614" s="4">
        <v>312</v>
      </c>
      <c r="C1614" s="2" t="s">
        <v>2307</v>
      </c>
      <c r="D1614" s="2" t="s">
        <v>2</v>
      </c>
      <c r="E1614" s="5" t="s">
        <v>412</v>
      </c>
      <c r="F1614" s="2">
        <v>143</v>
      </c>
    </row>
    <row r="1615" spans="1:6" x14ac:dyDescent="0.2">
      <c r="A1615" s="6" t="s">
        <v>124</v>
      </c>
      <c r="B1615" s="4">
        <v>119</v>
      </c>
      <c r="C1615" s="2" t="s">
        <v>2310</v>
      </c>
      <c r="D1615" s="2" t="s">
        <v>3</v>
      </c>
      <c r="E1615" s="7" t="s">
        <v>411</v>
      </c>
      <c r="F1615" s="2">
        <v>183</v>
      </c>
    </row>
    <row r="1616" spans="1:6" x14ac:dyDescent="0.2">
      <c r="A1616" s="6" t="s">
        <v>346</v>
      </c>
      <c r="B1616" s="4">
        <v>342</v>
      </c>
      <c r="C1616" s="2" t="s">
        <v>2307</v>
      </c>
      <c r="D1616" s="2" t="s">
        <v>3</v>
      </c>
      <c r="E1616" s="5" t="s">
        <v>412</v>
      </c>
      <c r="F1616" s="2">
        <v>297</v>
      </c>
    </row>
    <row r="1617" spans="1:6" x14ac:dyDescent="0.2">
      <c r="A1617" s="6" t="s">
        <v>142</v>
      </c>
      <c r="B1617" s="4">
        <v>137</v>
      </c>
      <c r="C1617" s="2" t="s">
        <v>2310</v>
      </c>
      <c r="D1617" s="2" t="s">
        <v>3</v>
      </c>
      <c r="E1617" s="7" t="s">
        <v>411</v>
      </c>
      <c r="F1617" s="2">
        <v>230</v>
      </c>
    </row>
    <row r="1618" spans="1:6" x14ac:dyDescent="0.2">
      <c r="A1618" s="6" t="s">
        <v>187</v>
      </c>
      <c r="B1618" s="4">
        <v>182</v>
      </c>
      <c r="C1618" s="2" t="s">
        <v>2310</v>
      </c>
      <c r="D1618" s="2" t="s">
        <v>5</v>
      </c>
      <c r="E1618" s="7" t="s">
        <v>410</v>
      </c>
      <c r="F1618" s="2">
        <v>247</v>
      </c>
    </row>
    <row r="1619" spans="1:6" x14ac:dyDescent="0.2">
      <c r="A1619" s="6" t="s">
        <v>217</v>
      </c>
      <c r="B1619" s="4">
        <v>213</v>
      </c>
      <c r="C1619" s="2" t="s">
        <v>2308</v>
      </c>
      <c r="D1619" s="2" t="s">
        <v>2</v>
      </c>
      <c r="E1619" s="5" t="s">
        <v>409</v>
      </c>
      <c r="F1619" s="2">
        <v>250</v>
      </c>
    </row>
    <row r="1620" spans="1:6" x14ac:dyDescent="0.2">
      <c r="A1620" s="6" t="s">
        <v>359</v>
      </c>
      <c r="B1620" s="4">
        <v>355</v>
      </c>
      <c r="C1620" s="2" t="s">
        <v>2307</v>
      </c>
      <c r="D1620" s="2" t="s">
        <v>4</v>
      </c>
      <c r="E1620" s="5" t="s">
        <v>411</v>
      </c>
      <c r="F1620" s="2">
        <v>183</v>
      </c>
    </row>
    <row r="1621" spans="1:6" x14ac:dyDescent="0.2">
      <c r="A1621" s="6" t="s">
        <v>365</v>
      </c>
      <c r="B1621" s="4">
        <v>361</v>
      </c>
      <c r="C1621" s="2" t="s">
        <v>2307</v>
      </c>
      <c r="D1621" s="2" t="s">
        <v>4</v>
      </c>
      <c r="E1621" s="5" t="s">
        <v>409</v>
      </c>
      <c r="F1621" s="2">
        <v>253</v>
      </c>
    </row>
    <row r="1622" spans="1:6" x14ac:dyDescent="0.2">
      <c r="A1622" s="6" t="s">
        <v>262</v>
      </c>
      <c r="B1622" s="4">
        <v>258</v>
      </c>
      <c r="C1622" s="2" t="s">
        <v>2308</v>
      </c>
      <c r="D1622" s="2" t="s">
        <v>4</v>
      </c>
      <c r="E1622" s="5" t="s">
        <v>411</v>
      </c>
      <c r="F1622" s="2">
        <v>255</v>
      </c>
    </row>
    <row r="1623" spans="1:6" x14ac:dyDescent="0.2">
      <c r="A1623" s="6" t="s">
        <v>379</v>
      </c>
      <c r="B1623" s="4">
        <v>375</v>
      </c>
      <c r="C1623" s="2" t="s">
        <v>2307</v>
      </c>
      <c r="D1623" s="2" t="s">
        <v>4</v>
      </c>
      <c r="E1623" s="5" t="s">
        <v>411</v>
      </c>
      <c r="F1623" s="2">
        <v>181</v>
      </c>
    </row>
    <row r="1624" spans="1:6" x14ac:dyDescent="0.2">
      <c r="A1624" s="6" t="s">
        <v>58</v>
      </c>
      <c r="B1624" s="4">
        <v>53</v>
      </c>
      <c r="C1624" s="2" t="s">
        <v>2309</v>
      </c>
      <c r="D1624" s="2" t="s">
        <v>4</v>
      </c>
      <c r="E1624" s="5" t="s">
        <v>409</v>
      </c>
      <c r="F1624" s="2">
        <v>251</v>
      </c>
    </row>
    <row r="1625" spans="1:6" x14ac:dyDescent="0.2">
      <c r="A1625" s="6" t="s">
        <v>73</v>
      </c>
      <c r="B1625" s="4">
        <v>68</v>
      </c>
      <c r="C1625" s="2" t="s">
        <v>2309</v>
      </c>
      <c r="D1625" s="2" t="s">
        <v>4</v>
      </c>
      <c r="E1625" s="5" t="s">
        <v>409</v>
      </c>
      <c r="F1625" s="2">
        <v>219</v>
      </c>
    </row>
    <row r="1626" spans="1:6" x14ac:dyDescent="0.2">
      <c r="A1626" s="6" t="s">
        <v>379</v>
      </c>
      <c r="B1626" s="4">
        <v>375</v>
      </c>
      <c r="C1626" s="2" t="s">
        <v>2307</v>
      </c>
      <c r="D1626" s="2" t="s">
        <v>4</v>
      </c>
      <c r="E1626" s="5" t="s">
        <v>410</v>
      </c>
      <c r="F1626" s="2">
        <v>265</v>
      </c>
    </row>
    <row r="1627" spans="1:6" x14ac:dyDescent="0.2">
      <c r="A1627" s="6" t="s">
        <v>350</v>
      </c>
      <c r="B1627" s="4">
        <v>346</v>
      </c>
      <c r="C1627" s="2" t="s">
        <v>2307</v>
      </c>
      <c r="D1627" s="2" t="s">
        <v>3</v>
      </c>
      <c r="E1627" s="5" t="s">
        <v>409</v>
      </c>
      <c r="F1627" s="2">
        <v>128</v>
      </c>
    </row>
    <row r="1628" spans="1:6" x14ac:dyDescent="0.2">
      <c r="A1628" s="6" t="s">
        <v>226</v>
      </c>
      <c r="B1628" s="4">
        <v>222</v>
      </c>
      <c r="C1628" s="2" t="s">
        <v>2308</v>
      </c>
      <c r="D1628" s="2" t="s">
        <v>3</v>
      </c>
      <c r="E1628" s="5" t="s">
        <v>412</v>
      </c>
      <c r="F1628" s="2">
        <v>266</v>
      </c>
    </row>
    <row r="1629" spans="1:6" x14ac:dyDescent="0.2">
      <c r="A1629" s="6" t="s">
        <v>109</v>
      </c>
      <c r="B1629" s="4">
        <v>104</v>
      </c>
      <c r="C1629" s="2" t="s">
        <v>2310</v>
      </c>
      <c r="D1629" s="2" t="s">
        <v>2</v>
      </c>
      <c r="E1629" s="5" t="s">
        <v>410</v>
      </c>
      <c r="F1629" s="2">
        <v>240</v>
      </c>
    </row>
    <row r="1630" spans="1:6" x14ac:dyDescent="0.2">
      <c r="A1630" s="6" t="s">
        <v>318</v>
      </c>
      <c r="B1630" s="4">
        <v>314</v>
      </c>
      <c r="C1630" s="2" t="s">
        <v>2307</v>
      </c>
      <c r="D1630" s="2" t="s">
        <v>2</v>
      </c>
      <c r="E1630" s="5" t="s">
        <v>409</v>
      </c>
      <c r="F1630" s="2">
        <v>122</v>
      </c>
    </row>
    <row r="1631" spans="1:6" x14ac:dyDescent="0.2">
      <c r="A1631" s="6" t="s">
        <v>73</v>
      </c>
      <c r="B1631" s="4">
        <v>68</v>
      </c>
      <c r="C1631" s="2" t="s">
        <v>2309</v>
      </c>
      <c r="D1631" s="2" t="s">
        <v>4</v>
      </c>
      <c r="E1631" s="5" t="s">
        <v>411</v>
      </c>
      <c r="F1631" s="2">
        <v>206</v>
      </c>
    </row>
    <row r="1632" spans="1:6" x14ac:dyDescent="0.2">
      <c r="A1632" s="6" t="s">
        <v>117</v>
      </c>
      <c r="B1632" s="4">
        <v>112</v>
      </c>
      <c r="C1632" s="2" t="s">
        <v>2310</v>
      </c>
      <c r="D1632" s="2" t="s">
        <v>2</v>
      </c>
      <c r="E1632" s="5" t="s">
        <v>412</v>
      </c>
      <c r="F1632" s="2">
        <v>257</v>
      </c>
    </row>
    <row r="1633" spans="1:6" x14ac:dyDescent="0.2">
      <c r="A1633" s="6" t="s">
        <v>402</v>
      </c>
      <c r="B1633" s="4">
        <v>398</v>
      </c>
      <c r="C1633" s="2" t="s">
        <v>2307</v>
      </c>
      <c r="D1633" s="2" t="s">
        <v>5</v>
      </c>
      <c r="E1633" s="5" t="s">
        <v>410</v>
      </c>
      <c r="F1633" s="2">
        <v>217</v>
      </c>
    </row>
    <row r="1634" spans="1:6" x14ac:dyDescent="0.2">
      <c r="A1634" s="6" t="s">
        <v>217</v>
      </c>
      <c r="B1634" s="4">
        <v>213</v>
      </c>
      <c r="C1634" s="2" t="s">
        <v>2308</v>
      </c>
      <c r="D1634" s="2" t="s">
        <v>2</v>
      </c>
      <c r="E1634" s="5" t="s">
        <v>411</v>
      </c>
      <c r="F1634" s="2">
        <v>220</v>
      </c>
    </row>
    <row r="1635" spans="1:6" x14ac:dyDescent="0.2">
      <c r="A1635" s="6" t="s">
        <v>111</v>
      </c>
      <c r="B1635" s="4">
        <v>106</v>
      </c>
      <c r="C1635" s="2" t="s">
        <v>2310</v>
      </c>
      <c r="D1635" s="2" t="s">
        <v>2</v>
      </c>
      <c r="E1635" s="5" t="s">
        <v>409</v>
      </c>
      <c r="F1635" s="2">
        <v>256</v>
      </c>
    </row>
    <row r="1636" spans="1:6" x14ac:dyDescent="0.2">
      <c r="A1636" s="6" t="s">
        <v>178</v>
      </c>
      <c r="B1636" s="4">
        <v>173</v>
      </c>
      <c r="C1636" s="2" t="s">
        <v>2310</v>
      </c>
      <c r="D1636" s="2" t="s">
        <v>5</v>
      </c>
      <c r="E1636" s="6" t="s">
        <v>408</v>
      </c>
      <c r="F1636" s="2">
        <v>141</v>
      </c>
    </row>
    <row r="1637" spans="1:6" x14ac:dyDescent="0.2">
      <c r="A1637" s="6" t="s">
        <v>325</v>
      </c>
      <c r="B1637" s="4">
        <v>321</v>
      </c>
      <c r="C1637" s="2" t="s">
        <v>2307</v>
      </c>
      <c r="D1637" s="2" t="s">
        <v>2</v>
      </c>
      <c r="E1637" s="5" t="s">
        <v>411</v>
      </c>
      <c r="F1637" s="2">
        <v>267</v>
      </c>
    </row>
    <row r="1638" spans="1:6" x14ac:dyDescent="0.2">
      <c r="A1638" s="6" t="s">
        <v>244</v>
      </c>
      <c r="B1638" s="4">
        <v>240</v>
      </c>
      <c r="C1638" s="2" t="s">
        <v>2308</v>
      </c>
      <c r="D1638" s="2" t="s">
        <v>3</v>
      </c>
      <c r="E1638" s="5" t="s">
        <v>412</v>
      </c>
      <c r="F1638" s="2">
        <v>172</v>
      </c>
    </row>
    <row r="1639" spans="1:6" x14ac:dyDescent="0.2">
      <c r="A1639" s="6" t="s">
        <v>324</v>
      </c>
      <c r="B1639" s="4">
        <v>320</v>
      </c>
      <c r="C1639" s="2" t="s">
        <v>2307</v>
      </c>
      <c r="D1639" s="2" t="s">
        <v>2</v>
      </c>
      <c r="E1639" s="5" t="s">
        <v>411</v>
      </c>
      <c r="F1639" s="2">
        <v>251</v>
      </c>
    </row>
    <row r="1640" spans="1:6" x14ac:dyDescent="0.2">
      <c r="A1640" s="6" t="s">
        <v>50</v>
      </c>
      <c r="B1640" s="4">
        <v>45</v>
      </c>
      <c r="C1640" s="2" t="s">
        <v>2309</v>
      </c>
      <c r="D1640" s="2" t="s">
        <v>3</v>
      </c>
      <c r="E1640" s="5" t="s">
        <v>408</v>
      </c>
      <c r="F1640" s="2">
        <v>253</v>
      </c>
    </row>
    <row r="1641" spans="1:6" x14ac:dyDescent="0.2">
      <c r="A1641" s="6" t="s">
        <v>337</v>
      </c>
      <c r="B1641" s="4">
        <v>333</v>
      </c>
      <c r="C1641" s="2" t="s">
        <v>2307</v>
      </c>
      <c r="D1641" s="2" t="s">
        <v>3</v>
      </c>
      <c r="E1641" s="5" t="s">
        <v>409</v>
      </c>
      <c r="F1641" s="2">
        <v>139</v>
      </c>
    </row>
    <row r="1642" spans="1:6" x14ac:dyDescent="0.2">
      <c r="A1642" s="6" t="s">
        <v>91</v>
      </c>
      <c r="B1642" s="4">
        <v>86</v>
      </c>
      <c r="C1642" s="2" t="s">
        <v>2309</v>
      </c>
      <c r="D1642" s="2" t="s">
        <v>5</v>
      </c>
      <c r="E1642" s="5" t="s">
        <v>410</v>
      </c>
      <c r="F1642" s="2">
        <v>216</v>
      </c>
    </row>
    <row r="1643" spans="1:6" x14ac:dyDescent="0.2">
      <c r="A1643" s="6" t="s">
        <v>196</v>
      </c>
      <c r="B1643" s="4">
        <v>192</v>
      </c>
      <c r="C1643" s="2" t="s">
        <v>2310</v>
      </c>
      <c r="D1643" s="2" t="s">
        <v>5</v>
      </c>
      <c r="E1643" s="5" t="s">
        <v>411</v>
      </c>
      <c r="F1643" s="2">
        <v>257</v>
      </c>
    </row>
    <row r="1644" spans="1:6" x14ac:dyDescent="0.2">
      <c r="A1644" s="6" t="s">
        <v>297</v>
      </c>
      <c r="B1644" s="4">
        <v>293</v>
      </c>
      <c r="C1644" s="2" t="s">
        <v>2308</v>
      </c>
      <c r="D1644" s="2" t="s">
        <v>5</v>
      </c>
      <c r="E1644" s="5" t="s">
        <v>409</v>
      </c>
      <c r="F1644" s="2">
        <v>238</v>
      </c>
    </row>
    <row r="1645" spans="1:6" x14ac:dyDescent="0.2">
      <c r="A1645" s="6" t="s">
        <v>111</v>
      </c>
      <c r="B1645" s="4">
        <v>106</v>
      </c>
      <c r="C1645" s="2" t="s">
        <v>2310</v>
      </c>
      <c r="D1645" s="2" t="s">
        <v>2</v>
      </c>
      <c r="E1645" s="5" t="s">
        <v>408</v>
      </c>
      <c r="F1645" s="2">
        <v>159</v>
      </c>
    </row>
    <row r="1646" spans="1:6" x14ac:dyDescent="0.2">
      <c r="A1646" s="6" t="s">
        <v>104</v>
      </c>
      <c r="B1646" s="4">
        <v>99</v>
      </c>
      <c r="C1646" s="2" t="s">
        <v>2310</v>
      </c>
      <c r="D1646" s="2" t="s">
        <v>2</v>
      </c>
      <c r="E1646" s="5" t="s">
        <v>410</v>
      </c>
      <c r="F1646" s="2">
        <v>124</v>
      </c>
    </row>
    <row r="1647" spans="1:6" x14ac:dyDescent="0.2">
      <c r="A1647" s="6" t="s">
        <v>90</v>
      </c>
      <c r="B1647" s="4">
        <v>85</v>
      </c>
      <c r="C1647" s="2" t="s">
        <v>2309</v>
      </c>
      <c r="D1647" s="2" t="s">
        <v>5</v>
      </c>
      <c r="E1647" s="5" t="s">
        <v>410</v>
      </c>
      <c r="F1647" s="2">
        <v>295</v>
      </c>
    </row>
    <row r="1648" spans="1:6" x14ac:dyDescent="0.2">
      <c r="A1648" s="6" t="s">
        <v>113</v>
      </c>
      <c r="B1648" s="4">
        <v>108</v>
      </c>
      <c r="C1648" s="2" t="s">
        <v>2310</v>
      </c>
      <c r="D1648" s="2" t="s">
        <v>2</v>
      </c>
      <c r="E1648" s="5" t="s">
        <v>412</v>
      </c>
      <c r="F1648" s="2">
        <v>252</v>
      </c>
    </row>
    <row r="1649" spans="1:6" x14ac:dyDescent="0.2">
      <c r="A1649" s="6" t="s">
        <v>26</v>
      </c>
      <c r="B1649" s="4">
        <v>21</v>
      </c>
      <c r="C1649" s="2" t="s">
        <v>2309</v>
      </c>
      <c r="D1649" s="2" t="s">
        <v>2</v>
      </c>
      <c r="E1649" s="5" t="s">
        <v>409</v>
      </c>
      <c r="F1649" s="2">
        <v>180</v>
      </c>
    </row>
    <row r="1650" spans="1:6" x14ac:dyDescent="0.2">
      <c r="A1650" s="6" t="s">
        <v>54</v>
      </c>
      <c r="B1650" s="4">
        <v>49</v>
      </c>
      <c r="C1650" s="2" t="s">
        <v>2309</v>
      </c>
      <c r="D1650" s="2" t="s">
        <v>3</v>
      </c>
      <c r="E1650" s="5" t="s">
        <v>412</v>
      </c>
      <c r="F1650" s="2">
        <v>214</v>
      </c>
    </row>
    <row r="1651" spans="1:6" x14ac:dyDescent="0.2">
      <c r="A1651" s="6" t="s">
        <v>173</v>
      </c>
      <c r="B1651" s="4">
        <v>168</v>
      </c>
      <c r="C1651" s="2" t="s">
        <v>2310</v>
      </c>
      <c r="D1651" s="2" t="s">
        <v>5</v>
      </c>
      <c r="E1651" s="7" t="s">
        <v>409</v>
      </c>
      <c r="F1651" s="2">
        <v>157</v>
      </c>
    </row>
    <row r="1652" spans="1:6" x14ac:dyDescent="0.2">
      <c r="A1652" s="6" t="s">
        <v>231</v>
      </c>
      <c r="B1652" s="4">
        <v>227</v>
      </c>
      <c r="C1652" s="2" t="s">
        <v>2308</v>
      </c>
      <c r="D1652" s="2" t="s">
        <v>3</v>
      </c>
      <c r="E1652" s="5" t="s">
        <v>412</v>
      </c>
      <c r="F1652" s="2">
        <v>256</v>
      </c>
    </row>
    <row r="1653" spans="1:6" x14ac:dyDescent="0.2">
      <c r="A1653" s="6" t="s">
        <v>236</v>
      </c>
      <c r="B1653" s="4">
        <v>232</v>
      </c>
      <c r="C1653" s="2" t="s">
        <v>2308</v>
      </c>
      <c r="D1653" s="2" t="s">
        <v>3</v>
      </c>
      <c r="E1653" s="7" t="s">
        <v>411</v>
      </c>
      <c r="F1653" s="2">
        <v>177</v>
      </c>
    </row>
    <row r="1654" spans="1:6" x14ac:dyDescent="0.2">
      <c r="A1654" s="6" t="s">
        <v>326</v>
      </c>
      <c r="B1654" s="4">
        <v>322</v>
      </c>
      <c r="C1654" s="2" t="s">
        <v>2307</v>
      </c>
      <c r="D1654" s="2" t="s">
        <v>2</v>
      </c>
      <c r="E1654" s="5" t="s">
        <v>412</v>
      </c>
      <c r="F1654" s="2">
        <v>204</v>
      </c>
    </row>
    <row r="1655" spans="1:6" x14ac:dyDescent="0.2">
      <c r="A1655" s="6" t="s">
        <v>22</v>
      </c>
      <c r="B1655" s="4">
        <v>17</v>
      </c>
      <c r="C1655" s="2" t="s">
        <v>2309</v>
      </c>
      <c r="D1655" s="2" t="s">
        <v>2</v>
      </c>
      <c r="E1655" s="5" t="s">
        <v>408</v>
      </c>
      <c r="F1655" s="2">
        <v>283</v>
      </c>
    </row>
    <row r="1656" spans="1:6" x14ac:dyDescent="0.2">
      <c r="A1656" s="6" t="s">
        <v>45</v>
      </c>
      <c r="B1656" s="4">
        <v>40</v>
      </c>
      <c r="C1656" s="2" t="s">
        <v>2309</v>
      </c>
      <c r="D1656" s="2" t="s">
        <v>3</v>
      </c>
      <c r="E1656" s="5" t="s">
        <v>411</v>
      </c>
      <c r="F1656" s="2">
        <v>171</v>
      </c>
    </row>
    <row r="1657" spans="1:6" x14ac:dyDescent="0.2">
      <c r="A1657" s="6" t="s">
        <v>59</v>
      </c>
      <c r="B1657" s="4">
        <v>54</v>
      </c>
      <c r="C1657" s="2" t="s">
        <v>2309</v>
      </c>
      <c r="D1657" s="2" t="s">
        <v>4</v>
      </c>
      <c r="E1657" s="5" t="s">
        <v>411</v>
      </c>
      <c r="F1657" s="2">
        <v>132</v>
      </c>
    </row>
    <row r="1658" spans="1:6" x14ac:dyDescent="0.2">
      <c r="A1658" s="6" t="s">
        <v>300</v>
      </c>
      <c r="B1658" s="4">
        <v>296</v>
      </c>
      <c r="C1658" s="2" t="s">
        <v>2307</v>
      </c>
      <c r="D1658" s="2" t="s">
        <v>2</v>
      </c>
      <c r="E1658" s="5" t="s">
        <v>408</v>
      </c>
      <c r="F1658" s="2">
        <v>132</v>
      </c>
    </row>
    <row r="1659" spans="1:6" x14ac:dyDescent="0.2">
      <c r="A1659" s="6" t="s">
        <v>359</v>
      </c>
      <c r="B1659" s="4">
        <v>355</v>
      </c>
      <c r="C1659" s="2" t="s">
        <v>2307</v>
      </c>
      <c r="D1659" s="2" t="s">
        <v>4</v>
      </c>
      <c r="E1659" s="5" t="s">
        <v>412</v>
      </c>
      <c r="F1659" s="2">
        <v>291</v>
      </c>
    </row>
    <row r="1660" spans="1:6" x14ac:dyDescent="0.2">
      <c r="A1660" s="6" t="s">
        <v>28</v>
      </c>
      <c r="B1660" s="4">
        <v>23</v>
      </c>
      <c r="C1660" s="2" t="s">
        <v>2309</v>
      </c>
      <c r="D1660" s="2" t="s">
        <v>2</v>
      </c>
      <c r="E1660" s="5" t="s">
        <v>408</v>
      </c>
      <c r="F1660" s="2">
        <v>164</v>
      </c>
    </row>
    <row r="1661" spans="1:6" x14ac:dyDescent="0.2">
      <c r="A1661" s="6" t="s">
        <v>360</v>
      </c>
      <c r="B1661" s="4">
        <v>356</v>
      </c>
      <c r="C1661" s="2" t="s">
        <v>2307</v>
      </c>
      <c r="D1661" s="2" t="s">
        <v>4</v>
      </c>
      <c r="E1661" s="5" t="s">
        <v>411</v>
      </c>
      <c r="F1661" s="2">
        <v>231</v>
      </c>
    </row>
    <row r="1662" spans="1:6" x14ac:dyDescent="0.2">
      <c r="A1662" s="6" t="s">
        <v>363</v>
      </c>
      <c r="B1662" s="4">
        <v>359</v>
      </c>
      <c r="C1662" s="2" t="s">
        <v>2307</v>
      </c>
      <c r="D1662" s="2" t="s">
        <v>4</v>
      </c>
      <c r="E1662" s="5" t="s">
        <v>411</v>
      </c>
      <c r="F1662" s="2">
        <v>296</v>
      </c>
    </row>
    <row r="1663" spans="1:6" x14ac:dyDescent="0.2">
      <c r="A1663" s="6" t="s">
        <v>102</v>
      </c>
      <c r="B1663" s="4">
        <v>97</v>
      </c>
      <c r="C1663" s="2" t="s">
        <v>2309</v>
      </c>
      <c r="D1663" s="2" t="s">
        <v>5</v>
      </c>
      <c r="E1663" s="5" t="s">
        <v>411</v>
      </c>
      <c r="F1663" s="2">
        <v>196</v>
      </c>
    </row>
    <row r="1664" spans="1:6" x14ac:dyDescent="0.2">
      <c r="A1664" s="6" t="s">
        <v>212</v>
      </c>
      <c r="B1664" s="4">
        <v>208</v>
      </c>
      <c r="C1664" s="2" t="s">
        <v>2308</v>
      </c>
      <c r="D1664" s="2" t="s">
        <v>2</v>
      </c>
      <c r="E1664" s="5" t="s">
        <v>409</v>
      </c>
      <c r="F1664" s="2">
        <v>246</v>
      </c>
    </row>
    <row r="1665" spans="1:6" x14ac:dyDescent="0.2">
      <c r="A1665" s="6" t="s">
        <v>258</v>
      </c>
      <c r="B1665" s="4">
        <v>254</v>
      </c>
      <c r="C1665" s="2" t="s">
        <v>2308</v>
      </c>
      <c r="D1665" s="2" t="s">
        <v>4</v>
      </c>
      <c r="E1665" s="7" t="s">
        <v>409</v>
      </c>
      <c r="F1665" s="2">
        <v>207</v>
      </c>
    </row>
    <row r="1666" spans="1:6" x14ac:dyDescent="0.2">
      <c r="A1666" s="6" t="s">
        <v>40</v>
      </c>
      <c r="B1666" s="4">
        <v>35</v>
      </c>
      <c r="C1666" s="2" t="s">
        <v>2309</v>
      </c>
      <c r="D1666" s="2" t="s">
        <v>3</v>
      </c>
      <c r="E1666" s="5" t="s">
        <v>408</v>
      </c>
      <c r="F1666" s="2">
        <v>189</v>
      </c>
    </row>
    <row r="1667" spans="1:6" x14ac:dyDescent="0.2">
      <c r="A1667" s="6" t="s">
        <v>51</v>
      </c>
      <c r="B1667" s="4">
        <v>46</v>
      </c>
      <c r="C1667" s="2" t="s">
        <v>2309</v>
      </c>
      <c r="D1667" s="2" t="s">
        <v>3</v>
      </c>
      <c r="E1667" s="5" t="s">
        <v>408</v>
      </c>
      <c r="F1667" s="2">
        <v>267</v>
      </c>
    </row>
    <row r="1668" spans="1:6" x14ac:dyDescent="0.2">
      <c r="A1668" s="6" t="s">
        <v>182</v>
      </c>
      <c r="B1668" s="4">
        <v>177</v>
      </c>
      <c r="C1668" s="2" t="s">
        <v>2310</v>
      </c>
      <c r="D1668" s="2" t="s">
        <v>5</v>
      </c>
      <c r="E1668" s="7" t="s">
        <v>410</v>
      </c>
      <c r="F1668" s="2">
        <v>147</v>
      </c>
    </row>
    <row r="1669" spans="1:6" x14ac:dyDescent="0.2">
      <c r="A1669" s="6" t="s">
        <v>196</v>
      </c>
      <c r="B1669" s="4">
        <v>192</v>
      </c>
      <c r="C1669" s="2" t="s">
        <v>2310</v>
      </c>
      <c r="D1669" s="2" t="s">
        <v>5</v>
      </c>
      <c r="E1669" s="5" t="s">
        <v>412</v>
      </c>
      <c r="F1669" s="2">
        <v>143</v>
      </c>
    </row>
    <row r="1670" spans="1:6" x14ac:dyDescent="0.2">
      <c r="A1670" s="6" t="s">
        <v>182</v>
      </c>
      <c r="B1670" s="4">
        <v>177</v>
      </c>
      <c r="C1670" s="2" t="s">
        <v>2310</v>
      </c>
      <c r="D1670" s="2" t="s">
        <v>5</v>
      </c>
      <c r="E1670" s="5" t="s">
        <v>412</v>
      </c>
      <c r="F1670" s="2">
        <v>284</v>
      </c>
    </row>
    <row r="1671" spans="1:6" x14ac:dyDescent="0.2">
      <c r="A1671" s="6" t="s">
        <v>234</v>
      </c>
      <c r="B1671" s="4">
        <v>230</v>
      </c>
      <c r="C1671" s="2" t="s">
        <v>2308</v>
      </c>
      <c r="D1671" s="2" t="s">
        <v>3</v>
      </c>
      <c r="E1671" s="7" t="s">
        <v>411</v>
      </c>
      <c r="F1671" s="2">
        <v>157</v>
      </c>
    </row>
    <row r="1672" spans="1:6" x14ac:dyDescent="0.2">
      <c r="A1672" s="6" t="s">
        <v>360</v>
      </c>
      <c r="B1672" s="4">
        <v>356</v>
      </c>
      <c r="C1672" s="2" t="s">
        <v>2307</v>
      </c>
      <c r="D1672" s="2" t="s">
        <v>4</v>
      </c>
      <c r="E1672" s="5" t="s">
        <v>409</v>
      </c>
      <c r="F1672" s="2">
        <v>125</v>
      </c>
    </row>
    <row r="1673" spans="1:6" x14ac:dyDescent="0.2">
      <c r="A1673" s="6" t="s">
        <v>38</v>
      </c>
      <c r="B1673" s="4">
        <v>33</v>
      </c>
      <c r="C1673" s="2" t="s">
        <v>2309</v>
      </c>
      <c r="D1673" s="2" t="s">
        <v>3</v>
      </c>
      <c r="E1673" s="5" t="s">
        <v>408</v>
      </c>
      <c r="F1673" s="2">
        <v>172</v>
      </c>
    </row>
    <row r="1674" spans="1:6" x14ac:dyDescent="0.2">
      <c r="A1674" s="6" t="s">
        <v>380</v>
      </c>
      <c r="B1674" s="4">
        <v>376</v>
      </c>
      <c r="C1674" s="2" t="s">
        <v>2307</v>
      </c>
      <c r="D1674" s="2" t="s">
        <v>5</v>
      </c>
      <c r="E1674" s="5" t="s">
        <v>411</v>
      </c>
      <c r="F1674" s="2">
        <v>217</v>
      </c>
    </row>
    <row r="1675" spans="1:6" x14ac:dyDescent="0.2">
      <c r="A1675" s="6" t="s">
        <v>131</v>
      </c>
      <c r="B1675" s="4">
        <v>126</v>
      </c>
      <c r="C1675" s="2" t="s">
        <v>2310</v>
      </c>
      <c r="D1675" s="2" t="s">
        <v>3</v>
      </c>
      <c r="E1675" s="7" t="s">
        <v>411</v>
      </c>
      <c r="F1675" s="2">
        <v>139</v>
      </c>
    </row>
    <row r="1676" spans="1:6" x14ac:dyDescent="0.2">
      <c r="A1676" s="6" t="s">
        <v>268</v>
      </c>
      <c r="B1676" s="4">
        <v>264</v>
      </c>
      <c r="C1676" s="2" t="s">
        <v>2308</v>
      </c>
      <c r="D1676" s="2" t="s">
        <v>4</v>
      </c>
      <c r="E1676" s="7" t="s">
        <v>409</v>
      </c>
      <c r="F1676" s="2">
        <v>232</v>
      </c>
    </row>
    <row r="1677" spans="1:6" x14ac:dyDescent="0.2">
      <c r="A1677" s="6" t="s">
        <v>104</v>
      </c>
      <c r="B1677" s="4">
        <v>99</v>
      </c>
      <c r="C1677" s="2" t="s">
        <v>2310</v>
      </c>
      <c r="D1677" s="2" t="s">
        <v>2</v>
      </c>
      <c r="E1677" s="5" t="s">
        <v>408</v>
      </c>
      <c r="F1677" s="2">
        <v>200</v>
      </c>
    </row>
    <row r="1678" spans="1:6" x14ac:dyDescent="0.2">
      <c r="A1678" s="6" t="s">
        <v>227</v>
      </c>
      <c r="B1678" s="4">
        <v>223</v>
      </c>
      <c r="C1678" s="2" t="s">
        <v>2308</v>
      </c>
      <c r="D1678" s="2" t="s">
        <v>3</v>
      </c>
      <c r="E1678" s="7" t="s">
        <v>409</v>
      </c>
      <c r="F1678" s="2">
        <v>139</v>
      </c>
    </row>
    <row r="1679" spans="1:6" x14ac:dyDescent="0.2">
      <c r="A1679" s="6" t="s">
        <v>94</v>
      </c>
      <c r="B1679" s="4">
        <v>89</v>
      </c>
      <c r="C1679" s="2" t="s">
        <v>2309</v>
      </c>
      <c r="D1679" s="2" t="s">
        <v>5</v>
      </c>
      <c r="E1679" s="5" t="s">
        <v>409</v>
      </c>
      <c r="F1679" s="2">
        <v>187</v>
      </c>
    </row>
    <row r="1680" spans="1:6" x14ac:dyDescent="0.2">
      <c r="A1680" s="6" t="s">
        <v>225</v>
      </c>
      <c r="B1680" s="4">
        <v>221</v>
      </c>
      <c r="C1680" s="2" t="s">
        <v>2308</v>
      </c>
      <c r="D1680" s="2" t="s">
        <v>3</v>
      </c>
      <c r="E1680" s="7" t="s">
        <v>410</v>
      </c>
      <c r="F1680" s="2">
        <v>187</v>
      </c>
    </row>
    <row r="1681" spans="1:6" x14ac:dyDescent="0.2">
      <c r="A1681" s="6" t="s">
        <v>59</v>
      </c>
      <c r="B1681" s="4">
        <v>54</v>
      </c>
      <c r="C1681" s="2" t="s">
        <v>2309</v>
      </c>
      <c r="D1681" s="2" t="s">
        <v>4</v>
      </c>
      <c r="E1681" s="5" t="s">
        <v>409</v>
      </c>
      <c r="F1681" s="2">
        <v>184</v>
      </c>
    </row>
    <row r="1682" spans="1:6" x14ac:dyDescent="0.2">
      <c r="A1682" s="6" t="s">
        <v>162</v>
      </c>
      <c r="B1682" s="4">
        <v>157</v>
      </c>
      <c r="C1682" s="2" t="s">
        <v>2310</v>
      </c>
      <c r="D1682" s="2" t="s">
        <v>4</v>
      </c>
      <c r="E1682" s="5" t="s">
        <v>410</v>
      </c>
      <c r="F1682" s="2">
        <v>199</v>
      </c>
    </row>
    <row r="1683" spans="1:6" x14ac:dyDescent="0.2">
      <c r="A1683" s="6" t="s">
        <v>352</v>
      </c>
      <c r="B1683" s="4">
        <v>348</v>
      </c>
      <c r="C1683" s="2" t="s">
        <v>2307</v>
      </c>
      <c r="D1683" s="2" t="s">
        <v>3</v>
      </c>
      <c r="E1683" s="5" t="s">
        <v>410</v>
      </c>
      <c r="F1683" s="2">
        <v>191</v>
      </c>
    </row>
    <row r="1684" spans="1:6" x14ac:dyDescent="0.2">
      <c r="A1684" s="6" t="s">
        <v>31</v>
      </c>
      <c r="B1684" s="4">
        <v>26</v>
      </c>
      <c r="C1684" s="2" t="s">
        <v>2309</v>
      </c>
      <c r="D1684" s="2" t="s">
        <v>2</v>
      </c>
      <c r="E1684" s="5" t="s">
        <v>408</v>
      </c>
      <c r="F1684" s="2">
        <v>137</v>
      </c>
    </row>
    <row r="1685" spans="1:6" x14ac:dyDescent="0.2">
      <c r="A1685" s="6" t="s">
        <v>211</v>
      </c>
      <c r="B1685" s="4">
        <v>207</v>
      </c>
      <c r="C1685" s="2" t="s">
        <v>2308</v>
      </c>
      <c r="D1685" s="2" t="s">
        <v>2</v>
      </c>
      <c r="E1685" s="5" t="s">
        <v>411</v>
      </c>
      <c r="F1685" s="2">
        <v>204</v>
      </c>
    </row>
    <row r="1686" spans="1:6" x14ac:dyDescent="0.2">
      <c r="A1686" s="6" t="s">
        <v>353</v>
      </c>
      <c r="B1686" s="4">
        <v>349</v>
      </c>
      <c r="C1686" s="2" t="s">
        <v>2307</v>
      </c>
      <c r="D1686" s="2" t="s">
        <v>3</v>
      </c>
      <c r="E1686" s="5" t="s">
        <v>410</v>
      </c>
      <c r="F1686" s="2">
        <v>120</v>
      </c>
    </row>
    <row r="1687" spans="1:6" x14ac:dyDescent="0.2">
      <c r="A1687" s="6" t="s">
        <v>118</v>
      </c>
      <c r="B1687" s="4">
        <v>113</v>
      </c>
      <c r="C1687" s="2" t="s">
        <v>2310</v>
      </c>
      <c r="D1687" s="2" t="s">
        <v>2</v>
      </c>
      <c r="E1687" s="5" t="s">
        <v>412</v>
      </c>
      <c r="F1687" s="2">
        <v>293</v>
      </c>
    </row>
    <row r="1688" spans="1:6" x14ac:dyDescent="0.2">
      <c r="A1688" s="6" t="s">
        <v>376</v>
      </c>
      <c r="B1688" s="4">
        <v>372</v>
      </c>
      <c r="C1688" s="2" t="s">
        <v>2307</v>
      </c>
      <c r="D1688" s="2" t="s">
        <v>4</v>
      </c>
      <c r="E1688" s="5" t="s">
        <v>412</v>
      </c>
      <c r="F1688" s="2">
        <v>269</v>
      </c>
    </row>
    <row r="1689" spans="1:6" x14ac:dyDescent="0.2">
      <c r="A1689" s="6" t="s">
        <v>190</v>
      </c>
      <c r="B1689" s="4">
        <v>185</v>
      </c>
      <c r="C1689" s="2" t="s">
        <v>2310</v>
      </c>
      <c r="D1689" s="2" t="s">
        <v>5</v>
      </c>
      <c r="E1689" s="6" t="s">
        <v>408</v>
      </c>
      <c r="F1689" s="2">
        <v>238</v>
      </c>
    </row>
    <row r="1690" spans="1:6" x14ac:dyDescent="0.2">
      <c r="A1690" s="6" t="s">
        <v>34</v>
      </c>
      <c r="B1690" s="4">
        <v>29</v>
      </c>
      <c r="C1690" s="2" t="s">
        <v>2309</v>
      </c>
      <c r="D1690" s="2" t="s">
        <v>3</v>
      </c>
      <c r="E1690" s="5" t="s">
        <v>409</v>
      </c>
      <c r="F1690" s="2">
        <v>290</v>
      </c>
    </row>
    <row r="1691" spans="1:6" x14ac:dyDescent="0.2">
      <c r="A1691" s="6" t="s">
        <v>251</v>
      </c>
      <c r="B1691" s="4">
        <v>247</v>
      </c>
      <c r="C1691" s="2" t="s">
        <v>2308</v>
      </c>
      <c r="D1691" s="2" t="s">
        <v>4</v>
      </c>
      <c r="E1691" s="5" t="s">
        <v>410</v>
      </c>
      <c r="F1691" s="2">
        <v>267</v>
      </c>
    </row>
    <row r="1692" spans="1:6" x14ac:dyDescent="0.2">
      <c r="A1692" s="6" t="s">
        <v>364</v>
      </c>
      <c r="B1692" s="4">
        <v>360</v>
      </c>
      <c r="C1692" s="2" t="s">
        <v>2307</v>
      </c>
      <c r="D1692" s="2" t="s">
        <v>4</v>
      </c>
      <c r="E1692" s="5" t="s">
        <v>409</v>
      </c>
      <c r="F1692" s="2">
        <v>251</v>
      </c>
    </row>
    <row r="1693" spans="1:6" x14ac:dyDescent="0.2">
      <c r="A1693" s="6" t="s">
        <v>398</v>
      </c>
      <c r="B1693" s="4">
        <v>394</v>
      </c>
      <c r="C1693" s="2" t="s">
        <v>2307</v>
      </c>
      <c r="D1693" s="2" t="s">
        <v>5</v>
      </c>
      <c r="E1693" s="5" t="s">
        <v>410</v>
      </c>
      <c r="F1693" s="2">
        <v>184</v>
      </c>
    </row>
    <row r="1694" spans="1:6" x14ac:dyDescent="0.2">
      <c r="A1694" s="6" t="s">
        <v>48</v>
      </c>
      <c r="B1694" s="4">
        <v>43</v>
      </c>
      <c r="C1694" s="2" t="s">
        <v>2309</v>
      </c>
      <c r="D1694" s="2" t="s">
        <v>3</v>
      </c>
      <c r="E1694" s="5" t="s">
        <v>409</v>
      </c>
      <c r="F1694" s="2">
        <v>216</v>
      </c>
    </row>
    <row r="1695" spans="1:6" x14ac:dyDescent="0.2">
      <c r="A1695" s="6" t="s">
        <v>17</v>
      </c>
      <c r="B1695" s="4">
        <v>12</v>
      </c>
      <c r="C1695" s="2" t="s">
        <v>2309</v>
      </c>
      <c r="D1695" s="2" t="s">
        <v>2</v>
      </c>
      <c r="E1695" s="5" t="s">
        <v>410</v>
      </c>
      <c r="F1695" s="2">
        <v>255</v>
      </c>
    </row>
    <row r="1696" spans="1:6" x14ac:dyDescent="0.2">
      <c r="A1696" s="6" t="s">
        <v>400</v>
      </c>
      <c r="B1696" s="4">
        <v>396</v>
      </c>
      <c r="C1696" s="2" t="s">
        <v>2307</v>
      </c>
      <c r="D1696" s="2" t="s">
        <v>5</v>
      </c>
      <c r="E1696" s="5" t="s">
        <v>409</v>
      </c>
      <c r="F1696" s="2">
        <v>128</v>
      </c>
    </row>
    <row r="1697" spans="1:6" x14ac:dyDescent="0.2">
      <c r="A1697" s="6" t="s">
        <v>121</v>
      </c>
      <c r="B1697" s="4">
        <v>116</v>
      </c>
      <c r="C1697" s="2" t="s">
        <v>2310</v>
      </c>
      <c r="D1697" s="2" t="s">
        <v>2</v>
      </c>
      <c r="E1697" s="5" t="s">
        <v>410</v>
      </c>
      <c r="F1697" s="2">
        <v>257</v>
      </c>
    </row>
    <row r="1698" spans="1:6" x14ac:dyDescent="0.2">
      <c r="A1698" s="6" t="s">
        <v>8</v>
      </c>
      <c r="B1698" s="4">
        <v>3</v>
      </c>
      <c r="C1698" s="2" t="s">
        <v>2309</v>
      </c>
      <c r="D1698" s="2" t="s">
        <v>2</v>
      </c>
      <c r="E1698" s="5" t="s">
        <v>409</v>
      </c>
      <c r="F1698" s="2">
        <v>294</v>
      </c>
    </row>
    <row r="1699" spans="1:6" x14ac:dyDescent="0.2">
      <c r="A1699" s="6" t="s">
        <v>33</v>
      </c>
      <c r="B1699" s="4">
        <v>28</v>
      </c>
      <c r="C1699" s="2" t="s">
        <v>2309</v>
      </c>
      <c r="D1699" s="2" t="s">
        <v>2</v>
      </c>
      <c r="E1699" s="5" t="s">
        <v>412</v>
      </c>
      <c r="F1699" s="2">
        <v>263</v>
      </c>
    </row>
    <row r="1700" spans="1:6" x14ac:dyDescent="0.2">
      <c r="A1700" s="6" t="s">
        <v>27</v>
      </c>
      <c r="B1700" s="4">
        <v>22</v>
      </c>
      <c r="C1700" s="2" t="s">
        <v>2309</v>
      </c>
      <c r="D1700" s="2" t="s">
        <v>2</v>
      </c>
      <c r="E1700" s="5" t="s">
        <v>410</v>
      </c>
      <c r="F1700" s="2">
        <v>218</v>
      </c>
    </row>
    <row r="1701" spans="1:6" x14ac:dyDescent="0.2">
      <c r="A1701" s="6" t="s">
        <v>401</v>
      </c>
      <c r="B1701" s="4">
        <v>397</v>
      </c>
      <c r="C1701" s="2" t="s">
        <v>2307</v>
      </c>
      <c r="D1701" s="2" t="s">
        <v>5</v>
      </c>
      <c r="E1701" s="5" t="s">
        <v>410</v>
      </c>
      <c r="F1701" s="2">
        <v>187</v>
      </c>
    </row>
    <row r="1702" spans="1:6" x14ac:dyDescent="0.2">
      <c r="A1702" s="6" t="s">
        <v>319</v>
      </c>
      <c r="B1702" s="4">
        <v>315</v>
      </c>
      <c r="C1702" s="2" t="s">
        <v>2307</v>
      </c>
      <c r="D1702" s="2" t="s">
        <v>2</v>
      </c>
      <c r="E1702" s="5" t="s">
        <v>410</v>
      </c>
      <c r="F1702" s="2">
        <v>232</v>
      </c>
    </row>
    <row r="1703" spans="1:6" x14ac:dyDescent="0.2">
      <c r="A1703" s="6" t="s">
        <v>11</v>
      </c>
      <c r="B1703" s="4">
        <v>6</v>
      </c>
      <c r="C1703" s="2" t="s">
        <v>2309</v>
      </c>
      <c r="D1703" s="2" t="s">
        <v>2</v>
      </c>
      <c r="E1703" s="5" t="s">
        <v>412</v>
      </c>
      <c r="F1703" s="2">
        <v>144</v>
      </c>
    </row>
    <row r="1704" spans="1:6" x14ac:dyDescent="0.2">
      <c r="A1704" s="6" t="s">
        <v>16</v>
      </c>
      <c r="B1704" s="4">
        <v>11</v>
      </c>
      <c r="C1704" s="2" t="s">
        <v>2309</v>
      </c>
      <c r="D1704" s="2" t="s">
        <v>2</v>
      </c>
      <c r="E1704" s="5" t="s">
        <v>412</v>
      </c>
      <c r="F1704" s="2">
        <v>235</v>
      </c>
    </row>
    <row r="1705" spans="1:6" x14ac:dyDescent="0.2">
      <c r="A1705" s="6" t="s">
        <v>386</v>
      </c>
      <c r="B1705" s="4">
        <v>382</v>
      </c>
      <c r="C1705" s="2" t="s">
        <v>2307</v>
      </c>
      <c r="D1705" s="2" t="s">
        <v>5</v>
      </c>
      <c r="E1705" s="5" t="s">
        <v>410</v>
      </c>
      <c r="F1705" s="2">
        <v>287</v>
      </c>
    </row>
    <row r="1706" spans="1:6" x14ac:dyDescent="0.2">
      <c r="A1706" s="6" t="s">
        <v>326</v>
      </c>
      <c r="B1706" s="4">
        <v>322</v>
      </c>
      <c r="C1706" s="2" t="s">
        <v>2307</v>
      </c>
      <c r="D1706" s="2" t="s">
        <v>2</v>
      </c>
      <c r="E1706" s="5" t="s">
        <v>411</v>
      </c>
      <c r="F1706" s="2">
        <v>276</v>
      </c>
    </row>
    <row r="1707" spans="1:6" x14ac:dyDescent="0.2">
      <c r="A1707" s="6" t="s">
        <v>329</v>
      </c>
      <c r="B1707" s="4">
        <v>325</v>
      </c>
      <c r="C1707" s="2" t="s">
        <v>2307</v>
      </c>
      <c r="D1707" s="2" t="s">
        <v>2</v>
      </c>
      <c r="E1707" s="5" t="s">
        <v>410</v>
      </c>
      <c r="F1707" s="2">
        <v>135</v>
      </c>
    </row>
    <row r="1708" spans="1:6" x14ac:dyDescent="0.2">
      <c r="A1708" s="6" t="s">
        <v>22</v>
      </c>
      <c r="B1708" s="4">
        <v>17</v>
      </c>
      <c r="C1708" s="2" t="s">
        <v>2309</v>
      </c>
      <c r="D1708" s="2" t="s">
        <v>2</v>
      </c>
      <c r="E1708" s="5" t="s">
        <v>411</v>
      </c>
      <c r="F1708" s="2">
        <v>274</v>
      </c>
    </row>
    <row r="1709" spans="1:6" x14ac:dyDescent="0.2">
      <c r="A1709" s="6" t="s">
        <v>364</v>
      </c>
      <c r="B1709" s="4">
        <v>360</v>
      </c>
      <c r="C1709" s="2" t="s">
        <v>2307</v>
      </c>
      <c r="D1709" s="2" t="s">
        <v>4</v>
      </c>
      <c r="E1709" s="5" t="s">
        <v>412</v>
      </c>
      <c r="F1709" s="2">
        <v>142</v>
      </c>
    </row>
    <row r="1710" spans="1:6" x14ac:dyDescent="0.2">
      <c r="A1710" s="6" t="s">
        <v>215</v>
      </c>
      <c r="B1710" s="4">
        <v>211</v>
      </c>
      <c r="C1710" s="2" t="s">
        <v>2308</v>
      </c>
      <c r="D1710" s="2" t="s">
        <v>2</v>
      </c>
      <c r="E1710" s="5" t="s">
        <v>409</v>
      </c>
      <c r="F1710" s="2">
        <v>146</v>
      </c>
    </row>
    <row r="1711" spans="1:6" x14ac:dyDescent="0.2">
      <c r="A1711" s="6" t="s">
        <v>331</v>
      </c>
      <c r="B1711" s="4">
        <v>327</v>
      </c>
      <c r="C1711" s="2" t="s">
        <v>2307</v>
      </c>
      <c r="D1711" s="2" t="s">
        <v>3</v>
      </c>
      <c r="E1711" s="5" t="s">
        <v>411</v>
      </c>
      <c r="F1711" s="2">
        <v>272</v>
      </c>
    </row>
    <row r="1712" spans="1:6" x14ac:dyDescent="0.2">
      <c r="A1712" s="6" t="s">
        <v>289</v>
      </c>
      <c r="B1712" s="4">
        <v>285</v>
      </c>
      <c r="C1712" s="2" t="s">
        <v>2308</v>
      </c>
      <c r="D1712" s="2" t="s">
        <v>5</v>
      </c>
      <c r="E1712" s="5" t="s">
        <v>412</v>
      </c>
      <c r="F1712" s="2">
        <v>297</v>
      </c>
    </row>
    <row r="1713" spans="1:6" x14ac:dyDescent="0.2">
      <c r="A1713" s="6" t="s">
        <v>166</v>
      </c>
      <c r="B1713" s="4">
        <v>161</v>
      </c>
      <c r="C1713" s="2" t="s">
        <v>2310</v>
      </c>
      <c r="D1713" s="2" t="s">
        <v>4</v>
      </c>
      <c r="E1713" s="6" t="s">
        <v>408</v>
      </c>
      <c r="F1713" s="2">
        <v>285</v>
      </c>
    </row>
    <row r="1714" spans="1:6" x14ac:dyDescent="0.2">
      <c r="A1714" s="6" t="s">
        <v>286</v>
      </c>
      <c r="B1714" s="4">
        <v>282</v>
      </c>
      <c r="C1714" s="2" t="s">
        <v>2308</v>
      </c>
      <c r="D1714" s="2" t="s">
        <v>5</v>
      </c>
      <c r="E1714" s="5" t="s">
        <v>411</v>
      </c>
      <c r="F1714" s="2">
        <v>283</v>
      </c>
    </row>
    <row r="1715" spans="1:6" x14ac:dyDescent="0.2">
      <c r="A1715" s="6" t="s">
        <v>394</v>
      </c>
      <c r="B1715" s="4">
        <v>390</v>
      </c>
      <c r="C1715" s="2" t="s">
        <v>2307</v>
      </c>
      <c r="D1715" s="2" t="s">
        <v>5</v>
      </c>
      <c r="E1715" s="5" t="s">
        <v>410</v>
      </c>
      <c r="F1715" s="2">
        <v>203</v>
      </c>
    </row>
    <row r="1716" spans="1:6" x14ac:dyDescent="0.2">
      <c r="A1716" s="6" t="s">
        <v>20</v>
      </c>
      <c r="B1716" s="4">
        <v>15</v>
      </c>
      <c r="C1716" s="2" t="s">
        <v>2309</v>
      </c>
      <c r="D1716" s="2" t="s">
        <v>2</v>
      </c>
      <c r="E1716" s="5" t="s">
        <v>408</v>
      </c>
      <c r="F1716" s="2">
        <v>207</v>
      </c>
    </row>
    <row r="1717" spans="1:6" x14ac:dyDescent="0.2">
      <c r="A1717" s="6" t="s">
        <v>23</v>
      </c>
      <c r="B1717" s="4">
        <v>18</v>
      </c>
      <c r="C1717" s="2" t="s">
        <v>2309</v>
      </c>
      <c r="D1717" s="2" t="s">
        <v>2</v>
      </c>
      <c r="E1717" s="5" t="s">
        <v>410</v>
      </c>
      <c r="F1717" s="2">
        <v>182</v>
      </c>
    </row>
    <row r="1718" spans="1:6" x14ac:dyDescent="0.2">
      <c r="A1718" s="6" t="s">
        <v>155</v>
      </c>
      <c r="B1718" s="4">
        <v>150</v>
      </c>
      <c r="C1718" s="2" t="s">
        <v>2310</v>
      </c>
      <c r="D1718" s="2" t="s">
        <v>4</v>
      </c>
      <c r="E1718" s="5" t="s">
        <v>412</v>
      </c>
      <c r="F1718" s="2">
        <v>128</v>
      </c>
    </row>
    <row r="1719" spans="1:6" x14ac:dyDescent="0.2">
      <c r="A1719" s="6" t="s">
        <v>101</v>
      </c>
      <c r="B1719" s="4">
        <v>96</v>
      </c>
      <c r="C1719" s="2" t="s">
        <v>2309</v>
      </c>
      <c r="D1719" s="2" t="s">
        <v>5</v>
      </c>
      <c r="E1719" s="5" t="s">
        <v>408</v>
      </c>
      <c r="F1719" s="2">
        <v>196</v>
      </c>
    </row>
    <row r="1720" spans="1:6" x14ac:dyDescent="0.2">
      <c r="A1720" s="6" t="s">
        <v>358</v>
      </c>
      <c r="B1720" s="4">
        <v>354</v>
      </c>
      <c r="C1720" s="2" t="s">
        <v>2307</v>
      </c>
      <c r="D1720" s="2" t="s">
        <v>4</v>
      </c>
      <c r="E1720" s="5" t="s">
        <v>412</v>
      </c>
      <c r="F1720" s="2">
        <v>199</v>
      </c>
    </row>
    <row r="1721" spans="1:6" x14ac:dyDescent="0.2">
      <c r="A1721" s="6" t="s">
        <v>404</v>
      </c>
      <c r="B1721" s="4">
        <v>400</v>
      </c>
      <c r="C1721" s="2" t="s">
        <v>2307</v>
      </c>
      <c r="D1721" s="2" t="s">
        <v>5</v>
      </c>
      <c r="E1721" s="5" t="s">
        <v>412</v>
      </c>
      <c r="F1721" s="2">
        <v>151</v>
      </c>
    </row>
    <row r="1722" spans="1:6" x14ac:dyDescent="0.2">
      <c r="A1722" s="6" t="s">
        <v>199</v>
      </c>
      <c r="B1722" s="4">
        <v>195</v>
      </c>
      <c r="C1722" s="2" t="s">
        <v>2308</v>
      </c>
      <c r="D1722" s="2" t="s">
        <v>2</v>
      </c>
      <c r="E1722" s="5" t="s">
        <v>409</v>
      </c>
      <c r="F1722" s="2">
        <v>184</v>
      </c>
    </row>
    <row r="1723" spans="1:6" x14ac:dyDescent="0.2">
      <c r="A1723" s="6" t="s">
        <v>187</v>
      </c>
      <c r="B1723" s="4">
        <v>182</v>
      </c>
      <c r="C1723" s="2" t="s">
        <v>2310</v>
      </c>
      <c r="D1723" s="2" t="s">
        <v>5</v>
      </c>
      <c r="E1723" s="5" t="s">
        <v>412</v>
      </c>
      <c r="F1723" s="2">
        <v>178</v>
      </c>
    </row>
    <row r="1724" spans="1:6" x14ac:dyDescent="0.2">
      <c r="A1724" s="6" t="s">
        <v>185</v>
      </c>
      <c r="B1724" s="4">
        <v>180</v>
      </c>
      <c r="C1724" s="2" t="s">
        <v>2310</v>
      </c>
      <c r="D1724" s="2" t="s">
        <v>5</v>
      </c>
      <c r="E1724" s="5" t="s">
        <v>412</v>
      </c>
      <c r="F1724" s="2">
        <v>275</v>
      </c>
    </row>
    <row r="1725" spans="1:6" x14ac:dyDescent="0.2">
      <c r="A1725" s="6" t="s">
        <v>14</v>
      </c>
      <c r="B1725" s="4">
        <v>9</v>
      </c>
      <c r="C1725" s="2" t="s">
        <v>2309</v>
      </c>
      <c r="D1725" s="2" t="s">
        <v>2</v>
      </c>
      <c r="E1725" s="5" t="s">
        <v>412</v>
      </c>
      <c r="F1725" s="2">
        <v>273</v>
      </c>
    </row>
    <row r="1726" spans="1:6" x14ac:dyDescent="0.2">
      <c r="A1726" s="6" t="s">
        <v>239</v>
      </c>
      <c r="B1726" s="4">
        <v>235</v>
      </c>
      <c r="C1726" s="2" t="s">
        <v>2308</v>
      </c>
      <c r="D1726" s="2" t="s">
        <v>3</v>
      </c>
      <c r="E1726" s="7" t="s">
        <v>410</v>
      </c>
      <c r="F1726" s="2">
        <v>148</v>
      </c>
    </row>
    <row r="1727" spans="1:6" x14ac:dyDescent="0.2">
      <c r="A1727" s="6" t="s">
        <v>127</v>
      </c>
      <c r="B1727" s="4">
        <v>122</v>
      </c>
      <c r="C1727" s="2" t="s">
        <v>2310</v>
      </c>
      <c r="D1727" s="2" t="s">
        <v>3</v>
      </c>
      <c r="E1727" s="7" t="s">
        <v>410</v>
      </c>
      <c r="F1727" s="2">
        <v>155</v>
      </c>
    </row>
    <row r="1728" spans="1:6" x14ac:dyDescent="0.2">
      <c r="A1728" s="6" t="s">
        <v>153</v>
      </c>
      <c r="B1728" s="4">
        <v>148</v>
      </c>
      <c r="C1728" s="2" t="s">
        <v>2310</v>
      </c>
      <c r="D1728" s="2" t="s">
        <v>4</v>
      </c>
      <c r="E1728" s="5" t="s">
        <v>410</v>
      </c>
      <c r="F1728" s="2">
        <v>123</v>
      </c>
    </row>
    <row r="1729" spans="1:6" x14ac:dyDescent="0.2">
      <c r="A1729" s="6" t="s">
        <v>235</v>
      </c>
      <c r="B1729" s="4">
        <v>231</v>
      </c>
      <c r="C1729" s="2" t="s">
        <v>2308</v>
      </c>
      <c r="D1729" s="2" t="s">
        <v>3</v>
      </c>
      <c r="E1729" s="6" t="s">
        <v>408</v>
      </c>
      <c r="F1729" s="2">
        <v>277</v>
      </c>
    </row>
    <row r="1730" spans="1:6" x14ac:dyDescent="0.2">
      <c r="A1730" s="6" t="s">
        <v>285</v>
      </c>
      <c r="B1730" s="4">
        <v>281</v>
      </c>
      <c r="C1730" s="2" t="s">
        <v>2308</v>
      </c>
      <c r="D1730" s="2" t="s">
        <v>5</v>
      </c>
      <c r="E1730" s="5" t="s">
        <v>411</v>
      </c>
      <c r="F1730" s="2">
        <v>219</v>
      </c>
    </row>
    <row r="1731" spans="1:6" x14ac:dyDescent="0.2">
      <c r="A1731" s="6" t="s">
        <v>331</v>
      </c>
      <c r="B1731" s="4">
        <v>327</v>
      </c>
      <c r="C1731" s="2" t="s">
        <v>2307</v>
      </c>
      <c r="D1731" s="2" t="s">
        <v>3</v>
      </c>
      <c r="E1731" s="5" t="s">
        <v>409</v>
      </c>
      <c r="F1731" s="2">
        <v>160</v>
      </c>
    </row>
    <row r="1732" spans="1:6" x14ac:dyDescent="0.2">
      <c r="A1732" s="6" t="s">
        <v>166</v>
      </c>
      <c r="B1732" s="4">
        <v>161</v>
      </c>
      <c r="C1732" s="2" t="s">
        <v>2310</v>
      </c>
      <c r="D1732" s="2" t="s">
        <v>4</v>
      </c>
      <c r="E1732" s="5" t="s">
        <v>411</v>
      </c>
      <c r="F1732" s="2">
        <v>297</v>
      </c>
    </row>
    <row r="1733" spans="1:6" x14ac:dyDescent="0.2">
      <c r="A1733" s="6" t="s">
        <v>403</v>
      </c>
      <c r="B1733" s="4">
        <v>399</v>
      </c>
      <c r="C1733" s="2" t="s">
        <v>2307</v>
      </c>
      <c r="D1733" s="2" t="s">
        <v>5</v>
      </c>
      <c r="E1733" s="5" t="s">
        <v>410</v>
      </c>
      <c r="F1733" s="2">
        <v>217</v>
      </c>
    </row>
    <row r="1734" spans="1:6" x14ac:dyDescent="0.2">
      <c r="A1734" s="6" t="s">
        <v>156</v>
      </c>
      <c r="B1734" s="4">
        <v>151</v>
      </c>
      <c r="C1734" s="2" t="s">
        <v>2310</v>
      </c>
      <c r="D1734" s="2" t="s">
        <v>4</v>
      </c>
      <c r="E1734" s="5" t="s">
        <v>411</v>
      </c>
      <c r="F1734" s="2">
        <v>298</v>
      </c>
    </row>
    <row r="1735" spans="1:6" x14ac:dyDescent="0.2">
      <c r="A1735" s="6" t="s">
        <v>317</v>
      </c>
      <c r="B1735" s="4">
        <v>313</v>
      </c>
      <c r="C1735" s="2" t="s">
        <v>2307</v>
      </c>
      <c r="D1735" s="2" t="s">
        <v>2</v>
      </c>
      <c r="E1735" s="5" t="s">
        <v>409</v>
      </c>
      <c r="F1735" s="2">
        <v>201</v>
      </c>
    </row>
    <row r="1736" spans="1:6" x14ac:dyDescent="0.2">
      <c r="A1736" s="6" t="s">
        <v>24</v>
      </c>
      <c r="B1736" s="4">
        <v>19</v>
      </c>
      <c r="C1736" s="2" t="s">
        <v>2309</v>
      </c>
      <c r="D1736" s="2" t="s">
        <v>2</v>
      </c>
      <c r="E1736" s="5" t="s">
        <v>409</v>
      </c>
      <c r="F1736" s="2">
        <v>241</v>
      </c>
    </row>
    <row r="1737" spans="1:6" x14ac:dyDescent="0.2">
      <c r="A1737" s="6" t="s">
        <v>207</v>
      </c>
      <c r="B1737" s="4">
        <v>203</v>
      </c>
      <c r="C1737" s="2" t="s">
        <v>2308</v>
      </c>
      <c r="D1737" s="2" t="s">
        <v>2</v>
      </c>
      <c r="E1737" s="5" t="s">
        <v>410</v>
      </c>
      <c r="F1737" s="2">
        <v>142</v>
      </c>
    </row>
    <row r="1738" spans="1:6" x14ac:dyDescent="0.2">
      <c r="A1738" s="6" t="s">
        <v>308</v>
      </c>
      <c r="B1738" s="4">
        <v>304</v>
      </c>
      <c r="C1738" s="2" t="s">
        <v>2307</v>
      </c>
      <c r="D1738" s="2" t="s">
        <v>2</v>
      </c>
      <c r="E1738" s="5" t="s">
        <v>408</v>
      </c>
      <c r="F1738" s="2">
        <v>241</v>
      </c>
    </row>
    <row r="1739" spans="1:6" x14ac:dyDescent="0.2">
      <c r="A1739" s="6" t="s">
        <v>152</v>
      </c>
      <c r="B1739" s="4">
        <v>147</v>
      </c>
      <c r="C1739" s="2" t="s">
        <v>2310</v>
      </c>
      <c r="D1739" s="2" t="s">
        <v>4</v>
      </c>
      <c r="E1739" s="5" t="s">
        <v>412</v>
      </c>
      <c r="F1739" s="2">
        <v>135</v>
      </c>
    </row>
    <row r="1740" spans="1:6" x14ac:dyDescent="0.2">
      <c r="A1740" s="6" t="s">
        <v>76</v>
      </c>
      <c r="B1740" s="4">
        <v>71</v>
      </c>
      <c r="C1740" s="2" t="s">
        <v>2309</v>
      </c>
      <c r="D1740" s="2" t="s">
        <v>4</v>
      </c>
      <c r="E1740" s="5" t="s">
        <v>412</v>
      </c>
      <c r="F1740" s="2">
        <v>157</v>
      </c>
    </row>
    <row r="1741" spans="1:6" x14ac:dyDescent="0.2">
      <c r="A1741" s="6" t="s">
        <v>138</v>
      </c>
      <c r="B1741" s="4">
        <v>133</v>
      </c>
      <c r="C1741" s="2" t="s">
        <v>2310</v>
      </c>
      <c r="D1741" s="2" t="s">
        <v>3</v>
      </c>
      <c r="E1741" s="5" t="s">
        <v>412</v>
      </c>
      <c r="F1741" s="2">
        <v>164</v>
      </c>
    </row>
    <row r="1742" spans="1:6" x14ac:dyDescent="0.2">
      <c r="A1742" s="6" t="s">
        <v>276</v>
      </c>
      <c r="B1742" s="4">
        <v>272</v>
      </c>
      <c r="C1742" s="2" t="s">
        <v>2308</v>
      </c>
      <c r="D1742" s="2" t="s">
        <v>5</v>
      </c>
      <c r="E1742" s="6" t="s">
        <v>408</v>
      </c>
      <c r="F1742" s="2">
        <v>150</v>
      </c>
    </row>
    <row r="1743" spans="1:6" x14ac:dyDescent="0.2">
      <c r="A1743" s="6" t="s">
        <v>256</v>
      </c>
      <c r="B1743" s="4">
        <v>252</v>
      </c>
      <c r="C1743" s="2" t="s">
        <v>2308</v>
      </c>
      <c r="D1743" s="2" t="s">
        <v>4</v>
      </c>
      <c r="E1743" s="5" t="s">
        <v>411</v>
      </c>
      <c r="F1743" s="2">
        <v>245</v>
      </c>
    </row>
    <row r="1744" spans="1:6" x14ac:dyDescent="0.2">
      <c r="A1744" s="6" t="s">
        <v>171</v>
      </c>
      <c r="B1744" s="4">
        <v>166</v>
      </c>
      <c r="C1744" s="2" t="s">
        <v>2310</v>
      </c>
      <c r="D1744" s="2" t="s">
        <v>4</v>
      </c>
      <c r="E1744" s="5" t="s">
        <v>410</v>
      </c>
      <c r="F1744" s="2">
        <v>155</v>
      </c>
    </row>
    <row r="1745" spans="1:6" x14ac:dyDescent="0.2">
      <c r="A1745" s="6" t="s">
        <v>19</v>
      </c>
      <c r="B1745" s="4">
        <v>14</v>
      </c>
      <c r="C1745" s="2" t="s">
        <v>2309</v>
      </c>
      <c r="D1745" s="2" t="s">
        <v>2</v>
      </c>
      <c r="E1745" s="5" t="s">
        <v>408</v>
      </c>
      <c r="F1745" s="2">
        <v>189</v>
      </c>
    </row>
    <row r="1746" spans="1:6" x14ac:dyDescent="0.2">
      <c r="A1746" s="6" t="s">
        <v>317</v>
      </c>
      <c r="B1746" s="4">
        <v>313</v>
      </c>
      <c r="C1746" s="2" t="s">
        <v>2307</v>
      </c>
      <c r="D1746" s="2" t="s">
        <v>2</v>
      </c>
      <c r="E1746" s="5" t="s">
        <v>410</v>
      </c>
      <c r="F1746" s="2">
        <v>199</v>
      </c>
    </row>
    <row r="1747" spans="1:6" x14ac:dyDescent="0.2">
      <c r="A1747" s="6" t="s">
        <v>203</v>
      </c>
      <c r="B1747" s="4">
        <v>199</v>
      </c>
      <c r="C1747" s="2" t="s">
        <v>2308</v>
      </c>
      <c r="D1747" s="2" t="s">
        <v>2</v>
      </c>
      <c r="E1747" s="5" t="s">
        <v>412</v>
      </c>
      <c r="F1747" s="2">
        <v>274</v>
      </c>
    </row>
    <row r="1748" spans="1:6" x14ac:dyDescent="0.2">
      <c r="A1748" s="6" t="s">
        <v>122</v>
      </c>
      <c r="B1748" s="4">
        <v>117</v>
      </c>
      <c r="C1748" s="2" t="s">
        <v>2310</v>
      </c>
      <c r="D1748" s="2" t="s">
        <v>2</v>
      </c>
      <c r="E1748" s="5" t="s">
        <v>408</v>
      </c>
      <c r="F1748" s="2">
        <v>176</v>
      </c>
    </row>
    <row r="1749" spans="1:6" x14ac:dyDescent="0.2">
      <c r="A1749" s="6" t="s">
        <v>116</v>
      </c>
      <c r="B1749" s="4">
        <v>111</v>
      </c>
      <c r="C1749" s="2" t="s">
        <v>2310</v>
      </c>
      <c r="D1749" s="2" t="s">
        <v>2</v>
      </c>
      <c r="E1749" s="5" t="s">
        <v>412</v>
      </c>
      <c r="F1749" s="2">
        <v>242</v>
      </c>
    </row>
    <row r="1750" spans="1:6" x14ac:dyDescent="0.2">
      <c r="A1750" s="6" t="s">
        <v>312</v>
      </c>
      <c r="B1750" s="4">
        <v>308</v>
      </c>
      <c r="C1750" s="2" t="s">
        <v>2307</v>
      </c>
      <c r="D1750" s="2" t="s">
        <v>2</v>
      </c>
      <c r="E1750" s="5" t="s">
        <v>408</v>
      </c>
      <c r="F1750" s="2">
        <v>144</v>
      </c>
    </row>
    <row r="1751" spans="1:6" x14ac:dyDescent="0.2">
      <c r="A1751" s="6" t="s">
        <v>275</v>
      </c>
      <c r="B1751" s="4">
        <v>271</v>
      </c>
      <c r="C1751" s="2" t="s">
        <v>2308</v>
      </c>
      <c r="D1751" s="2" t="s">
        <v>5</v>
      </c>
      <c r="E1751" s="5" t="s">
        <v>409</v>
      </c>
      <c r="F1751" s="2">
        <v>156</v>
      </c>
    </row>
    <row r="1752" spans="1:6" x14ac:dyDescent="0.2">
      <c r="A1752" s="6" t="s">
        <v>184</v>
      </c>
      <c r="B1752" s="4">
        <v>179</v>
      </c>
      <c r="C1752" s="2" t="s">
        <v>2310</v>
      </c>
      <c r="D1752" s="2" t="s">
        <v>5</v>
      </c>
      <c r="E1752" s="7" t="s">
        <v>410</v>
      </c>
      <c r="F1752" s="2">
        <v>144</v>
      </c>
    </row>
    <row r="1753" spans="1:6" x14ac:dyDescent="0.2">
      <c r="A1753" s="6" t="s">
        <v>19</v>
      </c>
      <c r="B1753" s="4">
        <v>14</v>
      </c>
      <c r="C1753" s="2" t="s">
        <v>2309</v>
      </c>
      <c r="D1753" s="2" t="s">
        <v>2</v>
      </c>
      <c r="E1753" s="5" t="s">
        <v>411</v>
      </c>
      <c r="F1753" s="2">
        <v>143</v>
      </c>
    </row>
    <row r="1754" spans="1:6" x14ac:dyDescent="0.2">
      <c r="A1754" s="6" t="s">
        <v>389</v>
      </c>
      <c r="B1754" s="4">
        <v>385</v>
      </c>
      <c r="C1754" s="2" t="s">
        <v>2307</v>
      </c>
      <c r="D1754" s="2" t="s">
        <v>5</v>
      </c>
      <c r="E1754" s="5" t="s">
        <v>409</v>
      </c>
      <c r="F1754" s="2">
        <v>159</v>
      </c>
    </row>
    <row r="1755" spans="1:6" x14ac:dyDescent="0.2">
      <c r="A1755" s="6" t="s">
        <v>301</v>
      </c>
      <c r="B1755" s="4">
        <v>297</v>
      </c>
      <c r="C1755" s="2" t="s">
        <v>2307</v>
      </c>
      <c r="D1755" s="2" t="s">
        <v>2</v>
      </c>
      <c r="E1755" s="5" t="s">
        <v>408</v>
      </c>
      <c r="F1755" s="2">
        <v>296</v>
      </c>
    </row>
    <row r="1756" spans="1:6" x14ac:dyDescent="0.2">
      <c r="A1756" s="6" t="s">
        <v>334</v>
      </c>
      <c r="B1756" s="4">
        <v>330</v>
      </c>
      <c r="C1756" s="2" t="s">
        <v>2307</v>
      </c>
      <c r="D1756" s="2" t="s">
        <v>3</v>
      </c>
      <c r="E1756" s="5" t="s">
        <v>409</v>
      </c>
      <c r="F1756" s="2">
        <v>295</v>
      </c>
    </row>
    <row r="1757" spans="1:6" x14ac:dyDescent="0.2">
      <c r="A1757" s="6" t="s">
        <v>396</v>
      </c>
      <c r="B1757" s="4">
        <v>392</v>
      </c>
      <c r="C1757" s="2" t="s">
        <v>2307</v>
      </c>
      <c r="D1757" s="2" t="s">
        <v>5</v>
      </c>
      <c r="E1757" s="5" t="s">
        <v>408</v>
      </c>
      <c r="F1757" s="2">
        <v>270</v>
      </c>
    </row>
    <row r="1758" spans="1:6" x14ac:dyDescent="0.2">
      <c r="A1758" s="6" t="s">
        <v>65</v>
      </c>
      <c r="B1758" s="4">
        <v>60</v>
      </c>
      <c r="C1758" s="2" t="s">
        <v>2309</v>
      </c>
      <c r="D1758" s="2" t="s">
        <v>4</v>
      </c>
      <c r="E1758" s="5" t="s">
        <v>410</v>
      </c>
      <c r="F1758" s="2">
        <v>165</v>
      </c>
    </row>
    <row r="1759" spans="1:6" x14ac:dyDescent="0.2">
      <c r="A1759" s="6" t="s">
        <v>287</v>
      </c>
      <c r="B1759" s="4">
        <v>283</v>
      </c>
      <c r="C1759" s="2" t="s">
        <v>2308</v>
      </c>
      <c r="D1759" s="2" t="s">
        <v>5</v>
      </c>
      <c r="E1759" s="5" t="s">
        <v>410</v>
      </c>
      <c r="F1759" s="2">
        <v>203</v>
      </c>
    </row>
    <row r="1760" spans="1:6" x14ac:dyDescent="0.2">
      <c r="A1760" s="6" t="s">
        <v>385</v>
      </c>
      <c r="B1760" s="4">
        <v>381</v>
      </c>
      <c r="C1760" s="2" t="s">
        <v>2307</v>
      </c>
      <c r="D1760" s="2" t="s">
        <v>5</v>
      </c>
      <c r="E1760" s="5" t="s">
        <v>412</v>
      </c>
      <c r="F1760" s="2">
        <v>182</v>
      </c>
    </row>
    <row r="1761" spans="1:6" x14ac:dyDescent="0.2">
      <c r="A1761" s="6" t="s">
        <v>263</v>
      </c>
      <c r="B1761" s="4">
        <v>259</v>
      </c>
      <c r="C1761" s="2" t="s">
        <v>2308</v>
      </c>
      <c r="D1761" s="2" t="s">
        <v>4</v>
      </c>
      <c r="E1761" s="5" t="s">
        <v>410</v>
      </c>
      <c r="F1761" s="2">
        <v>167</v>
      </c>
    </row>
    <row r="1762" spans="1:6" x14ac:dyDescent="0.2">
      <c r="A1762" s="6" t="s">
        <v>270</v>
      </c>
      <c r="B1762" s="4">
        <v>266</v>
      </c>
      <c r="C1762" s="2" t="s">
        <v>2308</v>
      </c>
      <c r="D1762" s="2" t="s">
        <v>4</v>
      </c>
      <c r="E1762" s="7" t="s">
        <v>409</v>
      </c>
      <c r="F1762" s="2">
        <v>294</v>
      </c>
    </row>
    <row r="1763" spans="1:6" x14ac:dyDescent="0.2">
      <c r="A1763" s="6" t="s">
        <v>376</v>
      </c>
      <c r="B1763" s="4">
        <v>372</v>
      </c>
      <c r="C1763" s="2" t="s">
        <v>2307</v>
      </c>
      <c r="D1763" s="2" t="s">
        <v>4</v>
      </c>
      <c r="E1763" s="5" t="s">
        <v>411</v>
      </c>
      <c r="F1763" s="2">
        <v>280</v>
      </c>
    </row>
    <row r="1764" spans="1:6" x14ac:dyDescent="0.2">
      <c r="A1764" s="6" t="s">
        <v>96</v>
      </c>
      <c r="B1764" s="4">
        <v>91</v>
      </c>
      <c r="C1764" s="2" t="s">
        <v>2309</v>
      </c>
      <c r="D1764" s="2" t="s">
        <v>5</v>
      </c>
      <c r="E1764" s="5" t="s">
        <v>410</v>
      </c>
      <c r="F1764" s="2">
        <v>294</v>
      </c>
    </row>
    <row r="1765" spans="1:6" x14ac:dyDescent="0.2">
      <c r="A1765" s="6" t="s">
        <v>93</v>
      </c>
      <c r="B1765" s="4">
        <v>88</v>
      </c>
      <c r="C1765" s="2" t="s">
        <v>2309</v>
      </c>
      <c r="D1765" s="2" t="s">
        <v>5</v>
      </c>
      <c r="E1765" s="5" t="s">
        <v>408</v>
      </c>
      <c r="F1765" s="2">
        <v>199</v>
      </c>
    </row>
    <row r="1766" spans="1:6" x14ac:dyDescent="0.2">
      <c r="A1766" s="6" t="s">
        <v>239</v>
      </c>
      <c r="B1766" s="4">
        <v>235</v>
      </c>
      <c r="C1766" s="2" t="s">
        <v>2308</v>
      </c>
      <c r="D1766" s="2" t="s">
        <v>3</v>
      </c>
      <c r="E1766" s="7" t="s">
        <v>411</v>
      </c>
      <c r="F1766" s="2">
        <v>135</v>
      </c>
    </row>
    <row r="1767" spans="1:6" x14ac:dyDescent="0.2">
      <c r="A1767" s="6" t="s">
        <v>272</v>
      </c>
      <c r="B1767" s="4">
        <v>268</v>
      </c>
      <c r="C1767" s="2" t="s">
        <v>2308</v>
      </c>
      <c r="D1767" s="2" t="s">
        <v>4</v>
      </c>
      <c r="E1767" s="5" t="s">
        <v>411</v>
      </c>
      <c r="F1767" s="2">
        <v>173</v>
      </c>
    </row>
    <row r="1768" spans="1:6" x14ac:dyDescent="0.2">
      <c r="A1768" s="6" t="s">
        <v>402</v>
      </c>
      <c r="B1768" s="4">
        <v>398</v>
      </c>
      <c r="C1768" s="2" t="s">
        <v>2307</v>
      </c>
      <c r="D1768" s="2" t="s">
        <v>5</v>
      </c>
      <c r="E1768" s="5" t="s">
        <v>412</v>
      </c>
      <c r="F1768" s="2">
        <v>129</v>
      </c>
    </row>
    <row r="1769" spans="1:6" x14ac:dyDescent="0.2">
      <c r="A1769" s="6" t="s">
        <v>67</v>
      </c>
      <c r="B1769" s="4">
        <v>62</v>
      </c>
      <c r="C1769" s="2" t="s">
        <v>2309</v>
      </c>
      <c r="D1769" s="2" t="s">
        <v>4</v>
      </c>
      <c r="E1769" s="5" t="s">
        <v>412</v>
      </c>
      <c r="F1769" s="2">
        <v>183</v>
      </c>
    </row>
    <row r="1770" spans="1:6" x14ac:dyDescent="0.2">
      <c r="A1770" s="6" t="s">
        <v>195</v>
      </c>
      <c r="B1770" s="4">
        <v>191</v>
      </c>
      <c r="C1770" s="2" t="s">
        <v>2310</v>
      </c>
      <c r="D1770" s="2" t="s">
        <v>5</v>
      </c>
      <c r="E1770" s="5" t="s">
        <v>412</v>
      </c>
      <c r="F1770" s="2">
        <v>162</v>
      </c>
    </row>
    <row r="1771" spans="1:6" x14ac:dyDescent="0.2">
      <c r="A1771" s="6" t="s">
        <v>243</v>
      </c>
      <c r="B1771" s="4">
        <v>239</v>
      </c>
      <c r="C1771" s="2" t="s">
        <v>2308</v>
      </c>
      <c r="D1771" s="2" t="s">
        <v>3</v>
      </c>
      <c r="E1771" s="7" t="s">
        <v>409</v>
      </c>
      <c r="F1771" s="2">
        <v>141</v>
      </c>
    </row>
    <row r="1772" spans="1:6" x14ac:dyDescent="0.2">
      <c r="A1772" s="6" t="s">
        <v>83</v>
      </c>
      <c r="B1772" s="4">
        <v>78</v>
      </c>
      <c r="C1772" s="2" t="s">
        <v>2309</v>
      </c>
      <c r="D1772" s="2" t="s">
        <v>5</v>
      </c>
      <c r="E1772" s="5" t="s">
        <v>408</v>
      </c>
      <c r="F1772" s="2">
        <v>244</v>
      </c>
    </row>
    <row r="1773" spans="1:6" x14ac:dyDescent="0.2">
      <c r="A1773" s="6" t="s">
        <v>189</v>
      </c>
      <c r="B1773" s="4">
        <v>184</v>
      </c>
      <c r="C1773" s="2" t="s">
        <v>2310</v>
      </c>
      <c r="D1773" s="2" t="s">
        <v>5</v>
      </c>
      <c r="E1773" s="7" t="s">
        <v>409</v>
      </c>
      <c r="F1773" s="2">
        <v>164</v>
      </c>
    </row>
    <row r="1774" spans="1:6" x14ac:dyDescent="0.2">
      <c r="A1774" s="6" t="s">
        <v>78</v>
      </c>
      <c r="B1774" s="4">
        <v>73</v>
      </c>
      <c r="C1774" s="2" t="s">
        <v>2309</v>
      </c>
      <c r="D1774" s="2" t="s">
        <v>4</v>
      </c>
      <c r="E1774" s="5" t="s">
        <v>412</v>
      </c>
      <c r="F1774" s="2">
        <v>223</v>
      </c>
    </row>
    <row r="1775" spans="1:6" x14ac:dyDescent="0.2">
      <c r="A1775" s="6" t="s">
        <v>125</v>
      </c>
      <c r="B1775" s="4">
        <v>120</v>
      </c>
      <c r="C1775" s="2" t="s">
        <v>2310</v>
      </c>
      <c r="D1775" s="2" t="s">
        <v>3</v>
      </c>
      <c r="E1775" s="7" t="s">
        <v>410</v>
      </c>
      <c r="F1775" s="2">
        <v>144</v>
      </c>
    </row>
    <row r="1776" spans="1:6" x14ac:dyDescent="0.2">
      <c r="A1776" s="6" t="s">
        <v>176</v>
      </c>
      <c r="B1776" s="4">
        <v>171</v>
      </c>
      <c r="C1776" s="2" t="s">
        <v>2310</v>
      </c>
      <c r="D1776" s="2" t="s">
        <v>5</v>
      </c>
      <c r="E1776" s="5" t="s">
        <v>412</v>
      </c>
      <c r="F1776" s="2">
        <v>246</v>
      </c>
    </row>
    <row r="1777" spans="1:6" x14ac:dyDescent="0.2">
      <c r="A1777" s="6" t="s">
        <v>374</v>
      </c>
      <c r="B1777" s="4">
        <v>370</v>
      </c>
      <c r="C1777" s="2" t="s">
        <v>2307</v>
      </c>
      <c r="D1777" s="2" t="s">
        <v>4</v>
      </c>
      <c r="E1777" s="5" t="s">
        <v>412</v>
      </c>
      <c r="F1777" s="2">
        <v>290</v>
      </c>
    </row>
    <row r="1778" spans="1:6" x14ac:dyDescent="0.2">
      <c r="A1778" s="6" t="s">
        <v>306</v>
      </c>
      <c r="B1778" s="4">
        <v>302</v>
      </c>
      <c r="C1778" s="2" t="s">
        <v>2307</v>
      </c>
      <c r="D1778" s="2" t="s">
        <v>2</v>
      </c>
      <c r="E1778" s="5" t="s">
        <v>409</v>
      </c>
      <c r="F1778" s="2">
        <v>206</v>
      </c>
    </row>
    <row r="1779" spans="1:6" x14ac:dyDescent="0.2">
      <c r="A1779" s="6" t="s">
        <v>55</v>
      </c>
      <c r="B1779" s="4">
        <v>50</v>
      </c>
      <c r="C1779" s="2" t="s">
        <v>2309</v>
      </c>
      <c r="D1779" s="2" t="s">
        <v>3</v>
      </c>
      <c r="E1779" s="5" t="s">
        <v>408</v>
      </c>
      <c r="F1779" s="2">
        <v>189</v>
      </c>
    </row>
    <row r="1780" spans="1:6" x14ac:dyDescent="0.2">
      <c r="A1780" s="6" t="s">
        <v>200</v>
      </c>
      <c r="B1780" s="4">
        <v>196</v>
      </c>
      <c r="C1780" s="2" t="s">
        <v>2308</v>
      </c>
      <c r="D1780" s="2" t="s">
        <v>2</v>
      </c>
      <c r="E1780" s="6" t="s">
        <v>408</v>
      </c>
      <c r="F1780" s="2">
        <v>229</v>
      </c>
    </row>
    <row r="1781" spans="1:6" x14ac:dyDescent="0.2">
      <c r="A1781" s="6" t="s">
        <v>139</v>
      </c>
      <c r="B1781" s="4">
        <v>134</v>
      </c>
      <c r="C1781" s="2" t="s">
        <v>2310</v>
      </c>
      <c r="D1781" s="2" t="s">
        <v>3</v>
      </c>
      <c r="E1781" s="5" t="s">
        <v>412</v>
      </c>
      <c r="F1781" s="2">
        <v>211</v>
      </c>
    </row>
    <row r="1782" spans="1:6" x14ac:dyDescent="0.2">
      <c r="A1782" s="6" t="s">
        <v>46</v>
      </c>
      <c r="B1782" s="4">
        <v>41</v>
      </c>
      <c r="C1782" s="2" t="s">
        <v>2309</v>
      </c>
      <c r="D1782" s="2" t="s">
        <v>3</v>
      </c>
      <c r="E1782" s="5" t="s">
        <v>408</v>
      </c>
      <c r="F1782" s="2">
        <v>130</v>
      </c>
    </row>
    <row r="1783" spans="1:6" x14ac:dyDescent="0.2">
      <c r="A1783" s="6" t="s">
        <v>356</v>
      </c>
      <c r="B1783" s="4">
        <v>352</v>
      </c>
      <c r="C1783" s="2" t="s">
        <v>2307</v>
      </c>
      <c r="D1783" s="2" t="s">
        <v>4</v>
      </c>
      <c r="E1783" s="5" t="s">
        <v>408</v>
      </c>
      <c r="F1783" s="2">
        <v>253</v>
      </c>
    </row>
    <row r="1784" spans="1:6" x14ac:dyDescent="0.2">
      <c r="A1784" s="6" t="s">
        <v>296</v>
      </c>
      <c r="B1784" s="4">
        <v>292</v>
      </c>
      <c r="C1784" s="2" t="s">
        <v>2308</v>
      </c>
      <c r="D1784" s="2" t="s">
        <v>5</v>
      </c>
      <c r="E1784" s="5" t="s">
        <v>409</v>
      </c>
      <c r="F1784" s="2">
        <v>231</v>
      </c>
    </row>
    <row r="1785" spans="1:6" x14ac:dyDescent="0.2">
      <c r="A1785" s="6" t="s">
        <v>116</v>
      </c>
      <c r="B1785" s="4">
        <v>111</v>
      </c>
      <c r="C1785" s="2" t="s">
        <v>2310</v>
      </c>
      <c r="D1785" s="2" t="s">
        <v>2</v>
      </c>
      <c r="E1785" s="5" t="s">
        <v>410</v>
      </c>
      <c r="F1785" s="2">
        <v>127</v>
      </c>
    </row>
    <row r="1786" spans="1:6" x14ac:dyDescent="0.2">
      <c r="A1786" s="6" t="s">
        <v>363</v>
      </c>
      <c r="B1786" s="4">
        <v>359</v>
      </c>
      <c r="C1786" s="2" t="s">
        <v>2307</v>
      </c>
      <c r="D1786" s="2" t="s">
        <v>4</v>
      </c>
      <c r="E1786" s="5" t="s">
        <v>412</v>
      </c>
      <c r="F1786" s="2">
        <v>281</v>
      </c>
    </row>
    <row r="1787" spans="1:6" x14ac:dyDescent="0.2">
      <c r="A1787" s="6" t="s">
        <v>202</v>
      </c>
      <c r="B1787" s="4">
        <v>198</v>
      </c>
      <c r="C1787" s="2" t="s">
        <v>2308</v>
      </c>
      <c r="D1787" s="2" t="s">
        <v>2</v>
      </c>
      <c r="E1787" s="5" t="s">
        <v>412</v>
      </c>
      <c r="F1787" s="2">
        <v>136</v>
      </c>
    </row>
    <row r="1788" spans="1:6" x14ac:dyDescent="0.2">
      <c r="A1788" s="6" t="s">
        <v>180</v>
      </c>
      <c r="B1788" s="4">
        <v>175</v>
      </c>
      <c r="C1788" s="2" t="s">
        <v>2310</v>
      </c>
      <c r="D1788" s="2" t="s">
        <v>5</v>
      </c>
      <c r="E1788" s="6" t="s">
        <v>408</v>
      </c>
      <c r="F1788" s="2">
        <v>154</v>
      </c>
    </row>
    <row r="1789" spans="1:6" x14ac:dyDescent="0.2">
      <c r="A1789" s="6" t="s">
        <v>366</v>
      </c>
      <c r="B1789" s="4">
        <v>362</v>
      </c>
      <c r="C1789" s="2" t="s">
        <v>2307</v>
      </c>
      <c r="D1789" s="2" t="s">
        <v>4</v>
      </c>
      <c r="E1789" s="5" t="s">
        <v>411</v>
      </c>
      <c r="F1789" s="2">
        <v>157</v>
      </c>
    </row>
    <row r="1790" spans="1:6" x14ac:dyDescent="0.2">
      <c r="A1790" s="6" t="s">
        <v>188</v>
      </c>
      <c r="B1790" s="4">
        <v>183</v>
      </c>
      <c r="C1790" s="2" t="s">
        <v>2310</v>
      </c>
      <c r="D1790" s="2" t="s">
        <v>5</v>
      </c>
      <c r="E1790" s="5" t="s">
        <v>412</v>
      </c>
      <c r="F1790" s="2">
        <v>178</v>
      </c>
    </row>
    <row r="1791" spans="1:6" x14ac:dyDescent="0.2">
      <c r="A1791" s="6" t="s">
        <v>29</v>
      </c>
      <c r="B1791" s="4">
        <v>24</v>
      </c>
      <c r="C1791" s="2" t="s">
        <v>2309</v>
      </c>
      <c r="D1791" s="2" t="s">
        <v>2</v>
      </c>
      <c r="E1791" s="5" t="s">
        <v>410</v>
      </c>
      <c r="F1791" s="2">
        <v>122</v>
      </c>
    </row>
    <row r="1792" spans="1:6" x14ac:dyDescent="0.2">
      <c r="A1792" s="6" t="s">
        <v>249</v>
      </c>
      <c r="B1792" s="4">
        <v>245</v>
      </c>
      <c r="C1792" s="2" t="s">
        <v>2308</v>
      </c>
      <c r="D1792" s="2" t="s">
        <v>4</v>
      </c>
      <c r="E1792" s="5" t="s">
        <v>411</v>
      </c>
      <c r="F1792" s="2">
        <v>252</v>
      </c>
    </row>
    <row r="1793" spans="1:6" x14ac:dyDescent="0.2">
      <c r="A1793" s="6" t="s">
        <v>380</v>
      </c>
      <c r="B1793" s="4">
        <v>376</v>
      </c>
      <c r="C1793" s="2" t="s">
        <v>2307</v>
      </c>
      <c r="D1793" s="2" t="s">
        <v>5</v>
      </c>
      <c r="E1793" s="5" t="s">
        <v>412</v>
      </c>
      <c r="F1793" s="2">
        <v>299</v>
      </c>
    </row>
    <row r="1794" spans="1:6" x14ac:dyDescent="0.2">
      <c r="A1794" s="6" t="s">
        <v>302</v>
      </c>
      <c r="B1794" s="4">
        <v>298</v>
      </c>
      <c r="C1794" s="2" t="s">
        <v>2307</v>
      </c>
      <c r="D1794" s="2" t="s">
        <v>2</v>
      </c>
      <c r="E1794" s="5" t="s">
        <v>408</v>
      </c>
      <c r="F1794" s="2">
        <v>295</v>
      </c>
    </row>
    <row r="1795" spans="1:6" x14ac:dyDescent="0.2">
      <c r="A1795" s="6" t="s">
        <v>129</v>
      </c>
      <c r="B1795" s="4">
        <v>124</v>
      </c>
      <c r="C1795" s="2" t="s">
        <v>2310</v>
      </c>
      <c r="D1795" s="2" t="s">
        <v>3</v>
      </c>
      <c r="E1795" s="7" t="s">
        <v>409</v>
      </c>
      <c r="F1795" s="2">
        <v>161</v>
      </c>
    </row>
    <row r="1796" spans="1:6" x14ac:dyDescent="0.2">
      <c r="A1796" s="6" t="s">
        <v>192</v>
      </c>
      <c r="B1796" s="4">
        <v>187</v>
      </c>
      <c r="C1796" s="2" t="s">
        <v>2310</v>
      </c>
      <c r="D1796" s="2" t="s">
        <v>5</v>
      </c>
      <c r="E1796" s="5" t="s">
        <v>411</v>
      </c>
      <c r="F1796" s="2">
        <v>249</v>
      </c>
    </row>
    <row r="1797" spans="1:6" x14ac:dyDescent="0.2">
      <c r="A1797" s="6" t="s">
        <v>69</v>
      </c>
      <c r="B1797" s="4">
        <v>64</v>
      </c>
      <c r="C1797" s="2" t="s">
        <v>2309</v>
      </c>
      <c r="D1797" s="2" t="s">
        <v>4</v>
      </c>
      <c r="E1797" s="5" t="s">
        <v>410</v>
      </c>
      <c r="F1797" s="2">
        <v>249</v>
      </c>
    </row>
    <row r="1798" spans="1:6" x14ac:dyDescent="0.2">
      <c r="A1798" s="6" t="s">
        <v>149</v>
      </c>
      <c r="B1798" s="4">
        <v>144</v>
      </c>
      <c r="C1798" s="2" t="s">
        <v>2310</v>
      </c>
      <c r="D1798" s="2" t="s">
        <v>4</v>
      </c>
      <c r="E1798" s="5" t="s">
        <v>410</v>
      </c>
      <c r="F1798" s="2">
        <v>277</v>
      </c>
    </row>
    <row r="1799" spans="1:6" x14ac:dyDescent="0.2">
      <c r="A1799" s="6" t="s">
        <v>291</v>
      </c>
      <c r="B1799" s="4">
        <v>287</v>
      </c>
      <c r="C1799" s="2" t="s">
        <v>2308</v>
      </c>
      <c r="D1799" s="2" t="s">
        <v>5</v>
      </c>
      <c r="E1799" s="5" t="s">
        <v>411</v>
      </c>
      <c r="F1799" s="2">
        <v>157</v>
      </c>
    </row>
    <row r="1800" spans="1:6" x14ac:dyDescent="0.2">
      <c r="A1800" s="6" t="s">
        <v>262</v>
      </c>
      <c r="B1800" s="4">
        <v>258</v>
      </c>
      <c r="C1800" s="2" t="s">
        <v>2308</v>
      </c>
      <c r="D1800" s="2" t="s">
        <v>4</v>
      </c>
      <c r="E1800" s="5" t="s">
        <v>410</v>
      </c>
      <c r="F1800" s="2">
        <v>300</v>
      </c>
    </row>
    <row r="1801" spans="1:6" x14ac:dyDescent="0.2">
      <c r="A1801" s="6" t="s">
        <v>135</v>
      </c>
      <c r="B1801" s="4">
        <v>130</v>
      </c>
      <c r="C1801" s="2" t="s">
        <v>2310</v>
      </c>
      <c r="D1801" s="2" t="s">
        <v>3</v>
      </c>
      <c r="E1801" s="7" t="s">
        <v>409</v>
      </c>
      <c r="F1801" s="2">
        <v>169</v>
      </c>
    </row>
    <row r="1802" spans="1:6" x14ac:dyDescent="0.2">
      <c r="A1802" s="6" t="s">
        <v>399</v>
      </c>
      <c r="B1802" s="4">
        <v>395</v>
      </c>
      <c r="C1802" s="2" t="s">
        <v>2307</v>
      </c>
      <c r="D1802" s="2" t="s">
        <v>5</v>
      </c>
      <c r="E1802" s="5" t="s">
        <v>408</v>
      </c>
      <c r="F1802" s="2">
        <v>271</v>
      </c>
    </row>
    <row r="1803" spans="1:6" x14ac:dyDescent="0.2">
      <c r="A1803" s="6" t="s">
        <v>365</v>
      </c>
      <c r="B1803" s="4">
        <v>361</v>
      </c>
      <c r="C1803" s="2" t="s">
        <v>2307</v>
      </c>
      <c r="D1803" s="2" t="s">
        <v>4</v>
      </c>
      <c r="E1803" s="5" t="s">
        <v>408</v>
      </c>
      <c r="F1803" s="2">
        <v>121</v>
      </c>
    </row>
    <row r="1804" spans="1:6" x14ac:dyDescent="0.2">
      <c r="A1804" s="6" t="s">
        <v>320</v>
      </c>
      <c r="B1804" s="4">
        <v>316</v>
      </c>
      <c r="C1804" s="2" t="s">
        <v>2307</v>
      </c>
      <c r="D1804" s="2" t="s">
        <v>2</v>
      </c>
      <c r="E1804" s="5" t="s">
        <v>408</v>
      </c>
      <c r="F1804" s="2">
        <v>169</v>
      </c>
    </row>
    <row r="1805" spans="1:6" x14ac:dyDescent="0.2">
      <c r="A1805" s="6" t="s">
        <v>192</v>
      </c>
      <c r="B1805" s="4">
        <v>187</v>
      </c>
      <c r="C1805" s="2" t="s">
        <v>2310</v>
      </c>
      <c r="D1805" s="2" t="s">
        <v>5</v>
      </c>
      <c r="E1805" s="7" t="s">
        <v>409</v>
      </c>
      <c r="F1805" s="2">
        <v>125</v>
      </c>
    </row>
    <row r="1806" spans="1:6" x14ac:dyDescent="0.2">
      <c r="A1806" s="6" t="s">
        <v>206</v>
      </c>
      <c r="B1806" s="4">
        <v>202</v>
      </c>
      <c r="C1806" s="2" t="s">
        <v>2308</v>
      </c>
      <c r="D1806" s="2" t="s">
        <v>2</v>
      </c>
      <c r="E1806" s="5" t="s">
        <v>411</v>
      </c>
      <c r="F1806" s="2">
        <v>253</v>
      </c>
    </row>
    <row r="1807" spans="1:6" x14ac:dyDescent="0.2">
      <c r="A1807" s="6" t="s">
        <v>246</v>
      </c>
      <c r="B1807" s="4">
        <v>242</v>
      </c>
      <c r="C1807" s="2" t="s">
        <v>2308</v>
      </c>
      <c r="D1807" s="2" t="s">
        <v>3</v>
      </c>
      <c r="E1807" s="7" t="s">
        <v>409</v>
      </c>
      <c r="F1807" s="2">
        <v>208</v>
      </c>
    </row>
    <row r="1808" spans="1:6" x14ac:dyDescent="0.2">
      <c r="A1808" s="6" t="s">
        <v>130</v>
      </c>
      <c r="B1808" s="4">
        <v>125</v>
      </c>
      <c r="C1808" s="2" t="s">
        <v>2310</v>
      </c>
      <c r="D1808" s="2" t="s">
        <v>3</v>
      </c>
      <c r="E1808" s="7" t="s">
        <v>411</v>
      </c>
      <c r="F1808" s="2">
        <v>253</v>
      </c>
    </row>
    <row r="1809" spans="1:6" x14ac:dyDescent="0.2">
      <c r="A1809" s="6" t="s">
        <v>292</v>
      </c>
      <c r="B1809" s="4">
        <v>288</v>
      </c>
      <c r="C1809" s="2" t="s">
        <v>2308</v>
      </c>
      <c r="D1809" s="2" t="s">
        <v>5</v>
      </c>
      <c r="E1809" s="5" t="s">
        <v>411</v>
      </c>
      <c r="F1809" s="2">
        <v>209</v>
      </c>
    </row>
    <row r="1810" spans="1:6" x14ac:dyDescent="0.2">
      <c r="A1810" s="6" t="s">
        <v>253</v>
      </c>
      <c r="B1810" s="4">
        <v>249</v>
      </c>
      <c r="C1810" s="2" t="s">
        <v>2308</v>
      </c>
      <c r="D1810" s="2" t="s">
        <v>4</v>
      </c>
      <c r="E1810" s="5" t="s">
        <v>410</v>
      </c>
      <c r="F1810" s="2">
        <v>239</v>
      </c>
    </row>
    <row r="1811" spans="1:6" x14ac:dyDescent="0.2">
      <c r="A1811" s="6" t="s">
        <v>386</v>
      </c>
      <c r="B1811" s="4">
        <v>382</v>
      </c>
      <c r="C1811" s="2" t="s">
        <v>2307</v>
      </c>
      <c r="D1811" s="2" t="s">
        <v>5</v>
      </c>
      <c r="E1811" s="5" t="s">
        <v>409</v>
      </c>
      <c r="F1811" s="2">
        <v>281</v>
      </c>
    </row>
    <row r="1812" spans="1:6" x14ac:dyDescent="0.2">
      <c r="A1812" s="6" t="s">
        <v>142</v>
      </c>
      <c r="B1812" s="4">
        <v>137</v>
      </c>
      <c r="C1812" s="2" t="s">
        <v>2310</v>
      </c>
      <c r="D1812" s="2" t="s">
        <v>3</v>
      </c>
      <c r="E1812" s="7" t="s">
        <v>409</v>
      </c>
      <c r="F1812" s="2">
        <v>131</v>
      </c>
    </row>
    <row r="1813" spans="1:6" x14ac:dyDescent="0.2">
      <c r="A1813" s="6" t="s">
        <v>210</v>
      </c>
      <c r="B1813" s="4">
        <v>206</v>
      </c>
      <c r="C1813" s="2" t="s">
        <v>2308</v>
      </c>
      <c r="D1813" s="2" t="s">
        <v>2</v>
      </c>
      <c r="E1813" s="5" t="s">
        <v>411</v>
      </c>
      <c r="F1813" s="2">
        <v>178</v>
      </c>
    </row>
    <row r="1814" spans="1:6" x14ac:dyDescent="0.2">
      <c r="A1814" s="6" t="s">
        <v>165</v>
      </c>
      <c r="B1814" s="4">
        <v>160</v>
      </c>
      <c r="C1814" s="2" t="s">
        <v>2310</v>
      </c>
      <c r="D1814" s="2" t="s">
        <v>4</v>
      </c>
      <c r="E1814" s="5" t="s">
        <v>410</v>
      </c>
      <c r="F1814" s="2">
        <v>276</v>
      </c>
    </row>
    <row r="1815" spans="1:6" x14ac:dyDescent="0.2">
      <c r="A1815" s="6" t="s">
        <v>333</v>
      </c>
      <c r="B1815" s="4">
        <v>329</v>
      </c>
      <c r="C1815" s="2" t="s">
        <v>2307</v>
      </c>
      <c r="D1815" s="2" t="s">
        <v>3</v>
      </c>
      <c r="E1815" s="5" t="s">
        <v>409</v>
      </c>
      <c r="F1815" s="2">
        <v>227</v>
      </c>
    </row>
    <row r="1816" spans="1:6" x14ac:dyDescent="0.2">
      <c r="A1816" s="6" t="s">
        <v>369</v>
      </c>
      <c r="B1816" s="4">
        <v>365</v>
      </c>
      <c r="C1816" s="2" t="s">
        <v>2307</v>
      </c>
      <c r="D1816" s="2" t="s">
        <v>4</v>
      </c>
      <c r="E1816" s="5" t="s">
        <v>412</v>
      </c>
      <c r="F1816" s="2">
        <v>143</v>
      </c>
    </row>
    <row r="1817" spans="1:6" x14ac:dyDescent="0.2">
      <c r="A1817" s="6" t="s">
        <v>358</v>
      </c>
      <c r="B1817" s="4">
        <v>354</v>
      </c>
      <c r="C1817" s="2" t="s">
        <v>2307</v>
      </c>
      <c r="D1817" s="2" t="s">
        <v>4</v>
      </c>
      <c r="E1817" s="5" t="s">
        <v>410</v>
      </c>
      <c r="F1817" s="2">
        <v>151</v>
      </c>
    </row>
    <row r="1818" spans="1:6" x14ac:dyDescent="0.2">
      <c r="A1818" s="6" t="s">
        <v>171</v>
      </c>
      <c r="B1818" s="4">
        <v>166</v>
      </c>
      <c r="C1818" s="2" t="s">
        <v>2310</v>
      </c>
      <c r="D1818" s="2" t="s">
        <v>4</v>
      </c>
      <c r="E1818" s="5" t="s">
        <v>411</v>
      </c>
      <c r="F1818" s="2">
        <v>189</v>
      </c>
    </row>
    <row r="1819" spans="1:6" x14ac:dyDescent="0.2">
      <c r="A1819" s="6" t="s">
        <v>236</v>
      </c>
      <c r="B1819" s="4">
        <v>232</v>
      </c>
      <c r="C1819" s="2" t="s">
        <v>2308</v>
      </c>
      <c r="D1819" s="2" t="s">
        <v>3</v>
      </c>
      <c r="E1819" s="5" t="s">
        <v>412</v>
      </c>
      <c r="F1819" s="2">
        <v>158</v>
      </c>
    </row>
    <row r="1820" spans="1:6" x14ac:dyDescent="0.2">
      <c r="A1820" s="6" t="s">
        <v>169</v>
      </c>
      <c r="B1820" s="4">
        <v>164</v>
      </c>
      <c r="C1820" s="2" t="s">
        <v>2310</v>
      </c>
      <c r="D1820" s="2" t="s">
        <v>4</v>
      </c>
      <c r="E1820" s="7" t="s">
        <v>409</v>
      </c>
      <c r="F1820" s="2">
        <v>297</v>
      </c>
    </row>
    <row r="1821" spans="1:6" x14ac:dyDescent="0.2">
      <c r="A1821" s="6" t="s">
        <v>36</v>
      </c>
      <c r="B1821" s="4">
        <v>31</v>
      </c>
      <c r="C1821" s="2" t="s">
        <v>2309</v>
      </c>
      <c r="D1821" s="2" t="s">
        <v>3</v>
      </c>
      <c r="E1821" s="5" t="s">
        <v>410</v>
      </c>
      <c r="F1821" s="2">
        <v>296</v>
      </c>
    </row>
    <row r="1822" spans="1:6" x14ac:dyDescent="0.2">
      <c r="A1822" s="6" t="s">
        <v>316</v>
      </c>
      <c r="B1822" s="4">
        <v>312</v>
      </c>
      <c r="C1822" s="2" t="s">
        <v>2307</v>
      </c>
      <c r="D1822" s="2" t="s">
        <v>2</v>
      </c>
      <c r="E1822" s="5" t="s">
        <v>408</v>
      </c>
      <c r="F1822" s="2">
        <v>133</v>
      </c>
    </row>
    <row r="1823" spans="1:6" x14ac:dyDescent="0.2">
      <c r="A1823" s="6" t="s">
        <v>97</v>
      </c>
      <c r="B1823" s="4">
        <v>92</v>
      </c>
      <c r="C1823" s="2" t="s">
        <v>2309</v>
      </c>
      <c r="D1823" s="2" t="s">
        <v>5</v>
      </c>
      <c r="E1823" s="5" t="s">
        <v>412</v>
      </c>
      <c r="F1823" s="2">
        <v>263</v>
      </c>
    </row>
    <row r="1824" spans="1:6" x14ac:dyDescent="0.2">
      <c r="A1824" s="6" t="s">
        <v>203</v>
      </c>
      <c r="B1824" s="4">
        <v>199</v>
      </c>
      <c r="C1824" s="2" t="s">
        <v>2308</v>
      </c>
      <c r="D1824" s="2" t="s">
        <v>2</v>
      </c>
      <c r="E1824" s="6" t="s">
        <v>408</v>
      </c>
      <c r="F1824" s="2">
        <v>179</v>
      </c>
    </row>
    <row r="1825" spans="1:6" x14ac:dyDescent="0.2">
      <c r="A1825" s="6" t="s">
        <v>402</v>
      </c>
      <c r="B1825" s="4">
        <v>398</v>
      </c>
      <c r="C1825" s="2" t="s">
        <v>2307</v>
      </c>
      <c r="D1825" s="2" t="s">
        <v>5</v>
      </c>
      <c r="E1825" s="5" t="s">
        <v>409</v>
      </c>
      <c r="F1825" s="2">
        <v>276</v>
      </c>
    </row>
    <row r="1826" spans="1:6" x14ac:dyDescent="0.2">
      <c r="A1826" s="6" t="s">
        <v>40</v>
      </c>
      <c r="B1826" s="4">
        <v>35</v>
      </c>
      <c r="C1826" s="2" t="s">
        <v>2309</v>
      </c>
      <c r="D1826" s="2" t="s">
        <v>3</v>
      </c>
      <c r="E1826" s="5" t="s">
        <v>410</v>
      </c>
      <c r="F1826" s="2">
        <v>291</v>
      </c>
    </row>
    <row r="1827" spans="1:6" x14ac:dyDescent="0.2">
      <c r="A1827" s="6" t="s">
        <v>341</v>
      </c>
      <c r="B1827" s="4">
        <v>337</v>
      </c>
      <c r="C1827" s="2" t="s">
        <v>2307</v>
      </c>
      <c r="D1827" s="2" t="s">
        <v>3</v>
      </c>
      <c r="E1827" s="5" t="s">
        <v>408</v>
      </c>
      <c r="F1827" s="2">
        <v>205</v>
      </c>
    </row>
    <row r="1828" spans="1:6" x14ac:dyDescent="0.2">
      <c r="A1828" s="6" t="s">
        <v>106</v>
      </c>
      <c r="B1828" s="4">
        <v>101</v>
      </c>
      <c r="C1828" s="2" t="s">
        <v>2310</v>
      </c>
      <c r="D1828" s="2" t="s">
        <v>2</v>
      </c>
      <c r="E1828" s="5" t="s">
        <v>412</v>
      </c>
      <c r="F1828" s="2">
        <v>205</v>
      </c>
    </row>
    <row r="1829" spans="1:6" x14ac:dyDescent="0.2">
      <c r="A1829" s="6" t="s">
        <v>109</v>
      </c>
      <c r="B1829" s="4">
        <v>104</v>
      </c>
      <c r="C1829" s="2" t="s">
        <v>2310</v>
      </c>
      <c r="D1829" s="2" t="s">
        <v>2</v>
      </c>
      <c r="E1829" s="5" t="s">
        <v>408</v>
      </c>
      <c r="F1829" s="2">
        <v>223</v>
      </c>
    </row>
    <row r="1830" spans="1:6" x14ac:dyDescent="0.2">
      <c r="A1830" s="6" t="s">
        <v>386</v>
      </c>
      <c r="B1830" s="4">
        <v>382</v>
      </c>
      <c r="C1830" s="2" t="s">
        <v>2307</v>
      </c>
      <c r="D1830" s="2" t="s">
        <v>5</v>
      </c>
      <c r="E1830" s="5" t="s">
        <v>412</v>
      </c>
      <c r="F1830" s="2">
        <v>198</v>
      </c>
    </row>
    <row r="1831" spans="1:6" x14ac:dyDescent="0.2">
      <c r="A1831" s="6" t="s">
        <v>178</v>
      </c>
      <c r="B1831" s="4">
        <v>173</v>
      </c>
      <c r="C1831" s="2" t="s">
        <v>2310</v>
      </c>
      <c r="D1831" s="2" t="s">
        <v>5</v>
      </c>
      <c r="E1831" s="5" t="s">
        <v>412</v>
      </c>
      <c r="F1831" s="2">
        <v>121</v>
      </c>
    </row>
    <row r="1832" spans="1:6" x14ac:dyDescent="0.2">
      <c r="A1832" s="6" t="s">
        <v>141</v>
      </c>
      <c r="B1832" s="4">
        <v>136</v>
      </c>
      <c r="C1832" s="2" t="s">
        <v>2310</v>
      </c>
      <c r="D1832" s="2" t="s">
        <v>3</v>
      </c>
      <c r="E1832" s="7" t="s">
        <v>411</v>
      </c>
      <c r="F1832" s="2">
        <v>125</v>
      </c>
    </row>
    <row r="1833" spans="1:6" x14ac:dyDescent="0.2">
      <c r="A1833" s="6" t="s">
        <v>21</v>
      </c>
      <c r="B1833" s="4">
        <v>16</v>
      </c>
      <c r="C1833" s="2" t="s">
        <v>2309</v>
      </c>
      <c r="D1833" s="2" t="s">
        <v>2</v>
      </c>
      <c r="E1833" s="5" t="s">
        <v>408</v>
      </c>
      <c r="F1833" s="2">
        <v>176</v>
      </c>
    </row>
    <row r="1834" spans="1:6" x14ac:dyDescent="0.2">
      <c r="A1834" s="6" t="s">
        <v>10</v>
      </c>
      <c r="B1834" s="4">
        <v>5</v>
      </c>
      <c r="C1834" s="2" t="s">
        <v>2309</v>
      </c>
      <c r="D1834" s="2" t="s">
        <v>2</v>
      </c>
      <c r="E1834" s="5" t="s">
        <v>412</v>
      </c>
      <c r="F1834" s="2">
        <v>260</v>
      </c>
    </row>
    <row r="1835" spans="1:6" x14ac:dyDescent="0.2">
      <c r="A1835" s="6" t="s">
        <v>367</v>
      </c>
      <c r="B1835" s="4">
        <v>363</v>
      </c>
      <c r="C1835" s="2" t="s">
        <v>2307</v>
      </c>
      <c r="D1835" s="2" t="s">
        <v>4</v>
      </c>
      <c r="E1835" s="5" t="s">
        <v>412</v>
      </c>
      <c r="F1835" s="2">
        <v>174</v>
      </c>
    </row>
    <row r="1836" spans="1:6" x14ac:dyDescent="0.2">
      <c r="A1836" s="6" t="s">
        <v>39</v>
      </c>
      <c r="B1836" s="4">
        <v>34</v>
      </c>
      <c r="C1836" s="2" t="s">
        <v>2309</v>
      </c>
      <c r="D1836" s="2" t="s">
        <v>3</v>
      </c>
      <c r="E1836" s="5" t="s">
        <v>409</v>
      </c>
      <c r="F1836" s="2">
        <v>297</v>
      </c>
    </row>
    <row r="1837" spans="1:6" x14ac:dyDescent="0.2">
      <c r="A1837" s="6" t="s">
        <v>384</v>
      </c>
      <c r="B1837" s="4">
        <v>380</v>
      </c>
      <c r="C1837" s="2" t="s">
        <v>2307</v>
      </c>
      <c r="D1837" s="2" t="s">
        <v>5</v>
      </c>
      <c r="E1837" s="5" t="s">
        <v>412</v>
      </c>
      <c r="F1837" s="2">
        <v>125</v>
      </c>
    </row>
    <row r="1838" spans="1:6" x14ac:dyDescent="0.2">
      <c r="A1838" s="6" t="s">
        <v>227</v>
      </c>
      <c r="B1838" s="4">
        <v>223</v>
      </c>
      <c r="C1838" s="2" t="s">
        <v>2308</v>
      </c>
      <c r="D1838" s="2" t="s">
        <v>3</v>
      </c>
      <c r="E1838" s="5" t="s">
        <v>412</v>
      </c>
      <c r="F1838" s="2">
        <v>204</v>
      </c>
    </row>
    <row r="1839" spans="1:6" x14ac:dyDescent="0.2">
      <c r="A1839" s="6" t="s">
        <v>392</v>
      </c>
      <c r="B1839" s="4">
        <v>388</v>
      </c>
      <c r="C1839" s="2" t="s">
        <v>2307</v>
      </c>
      <c r="D1839" s="2" t="s">
        <v>5</v>
      </c>
      <c r="E1839" s="5" t="s">
        <v>410</v>
      </c>
      <c r="F1839" s="2">
        <v>196</v>
      </c>
    </row>
    <row r="1840" spans="1:6" x14ac:dyDescent="0.2">
      <c r="A1840" s="6" t="s">
        <v>376</v>
      </c>
      <c r="B1840" s="4">
        <v>372</v>
      </c>
      <c r="C1840" s="2" t="s">
        <v>2307</v>
      </c>
      <c r="D1840" s="2" t="s">
        <v>4</v>
      </c>
      <c r="E1840" s="5" t="s">
        <v>409</v>
      </c>
      <c r="F1840" s="2">
        <v>203</v>
      </c>
    </row>
    <row r="1841" spans="1:6" x14ac:dyDescent="0.2">
      <c r="A1841" s="6" t="s">
        <v>227</v>
      </c>
      <c r="B1841" s="4">
        <v>223</v>
      </c>
      <c r="C1841" s="2" t="s">
        <v>2308</v>
      </c>
      <c r="D1841" s="2" t="s">
        <v>3</v>
      </c>
      <c r="E1841" s="7" t="s">
        <v>411</v>
      </c>
      <c r="F1841" s="2">
        <v>159</v>
      </c>
    </row>
    <row r="1842" spans="1:6" x14ac:dyDescent="0.2">
      <c r="A1842" s="6" t="s">
        <v>230</v>
      </c>
      <c r="B1842" s="4">
        <v>226</v>
      </c>
      <c r="C1842" s="2" t="s">
        <v>2308</v>
      </c>
      <c r="D1842" s="2" t="s">
        <v>3</v>
      </c>
      <c r="E1842" s="5" t="s">
        <v>412</v>
      </c>
      <c r="F1842" s="2">
        <v>247</v>
      </c>
    </row>
    <row r="1843" spans="1:6" x14ac:dyDescent="0.2">
      <c r="A1843" s="6" t="s">
        <v>141</v>
      </c>
      <c r="B1843" s="4">
        <v>136</v>
      </c>
      <c r="C1843" s="2" t="s">
        <v>2310</v>
      </c>
      <c r="D1843" s="2" t="s">
        <v>3</v>
      </c>
      <c r="E1843" s="6" t="s">
        <v>408</v>
      </c>
      <c r="F1843" s="2">
        <v>142</v>
      </c>
    </row>
    <row r="1844" spans="1:6" x14ac:dyDescent="0.2">
      <c r="A1844" s="6" t="s">
        <v>140</v>
      </c>
      <c r="B1844" s="4">
        <v>135</v>
      </c>
      <c r="C1844" s="2" t="s">
        <v>2310</v>
      </c>
      <c r="D1844" s="2" t="s">
        <v>3</v>
      </c>
      <c r="E1844" s="7" t="s">
        <v>410</v>
      </c>
      <c r="F1844" s="2">
        <v>293</v>
      </c>
    </row>
    <row r="1845" spans="1:6" x14ac:dyDescent="0.2">
      <c r="A1845" s="6" t="s">
        <v>155</v>
      </c>
      <c r="B1845" s="4">
        <v>150</v>
      </c>
      <c r="C1845" s="2" t="s">
        <v>2310</v>
      </c>
      <c r="D1845" s="2" t="s">
        <v>4</v>
      </c>
      <c r="E1845" s="6" t="s">
        <v>408</v>
      </c>
      <c r="F1845" s="2">
        <v>158</v>
      </c>
    </row>
    <row r="1846" spans="1:6" x14ac:dyDescent="0.2">
      <c r="A1846" s="6" t="s">
        <v>119</v>
      </c>
      <c r="B1846" s="4">
        <v>114</v>
      </c>
      <c r="C1846" s="2" t="s">
        <v>2310</v>
      </c>
      <c r="D1846" s="2" t="s">
        <v>2</v>
      </c>
      <c r="E1846" s="5" t="s">
        <v>408</v>
      </c>
      <c r="F1846" s="2">
        <v>212</v>
      </c>
    </row>
    <row r="1847" spans="1:6" x14ac:dyDescent="0.2">
      <c r="A1847" s="6" t="s">
        <v>294</v>
      </c>
      <c r="B1847" s="4">
        <v>290</v>
      </c>
      <c r="C1847" s="2" t="s">
        <v>2308</v>
      </c>
      <c r="D1847" s="2" t="s">
        <v>5</v>
      </c>
      <c r="E1847" s="5" t="s">
        <v>412</v>
      </c>
      <c r="F1847" s="2">
        <v>273</v>
      </c>
    </row>
    <row r="1848" spans="1:6" x14ac:dyDescent="0.2">
      <c r="A1848" s="6" t="s">
        <v>94</v>
      </c>
      <c r="B1848" s="4">
        <v>89</v>
      </c>
      <c r="C1848" s="2" t="s">
        <v>2309</v>
      </c>
      <c r="D1848" s="2" t="s">
        <v>5</v>
      </c>
      <c r="E1848" s="5" t="s">
        <v>411</v>
      </c>
      <c r="F1848" s="2">
        <v>138</v>
      </c>
    </row>
    <row r="1849" spans="1:6" x14ac:dyDescent="0.2">
      <c r="A1849" s="6" t="s">
        <v>367</v>
      </c>
      <c r="B1849" s="4">
        <v>363</v>
      </c>
      <c r="C1849" s="2" t="s">
        <v>2307</v>
      </c>
      <c r="D1849" s="2" t="s">
        <v>4</v>
      </c>
      <c r="E1849" s="5" t="s">
        <v>410</v>
      </c>
      <c r="F1849" s="2">
        <v>290</v>
      </c>
    </row>
    <row r="1850" spans="1:6" x14ac:dyDescent="0.2">
      <c r="A1850" s="6" t="s">
        <v>205</v>
      </c>
      <c r="B1850" s="4">
        <v>201</v>
      </c>
      <c r="C1850" s="2" t="s">
        <v>2308</v>
      </c>
      <c r="D1850" s="2" t="s">
        <v>2</v>
      </c>
      <c r="E1850" s="5" t="s">
        <v>411</v>
      </c>
      <c r="F1850" s="2">
        <v>256</v>
      </c>
    </row>
    <row r="1851" spans="1:6" x14ac:dyDescent="0.2">
      <c r="A1851" s="6" t="s">
        <v>327</v>
      </c>
      <c r="B1851" s="4">
        <v>323</v>
      </c>
      <c r="C1851" s="2" t="s">
        <v>2307</v>
      </c>
      <c r="D1851" s="2" t="s">
        <v>2</v>
      </c>
      <c r="E1851" s="5" t="s">
        <v>408</v>
      </c>
      <c r="F1851" s="2">
        <v>143</v>
      </c>
    </row>
    <row r="1852" spans="1:6" x14ac:dyDescent="0.2">
      <c r="A1852" s="6" t="s">
        <v>377</v>
      </c>
      <c r="B1852" s="4">
        <v>373</v>
      </c>
      <c r="C1852" s="2" t="s">
        <v>2307</v>
      </c>
      <c r="D1852" s="2" t="s">
        <v>4</v>
      </c>
      <c r="E1852" s="5" t="s">
        <v>412</v>
      </c>
      <c r="F1852" s="2">
        <v>140</v>
      </c>
    </row>
    <row r="1853" spans="1:6" x14ac:dyDescent="0.2">
      <c r="A1853" s="6" t="s">
        <v>81</v>
      </c>
      <c r="B1853" s="4">
        <v>76</v>
      </c>
      <c r="C1853" s="2" t="s">
        <v>2309</v>
      </c>
      <c r="D1853" s="2" t="s">
        <v>5</v>
      </c>
      <c r="E1853" s="5" t="s">
        <v>410</v>
      </c>
      <c r="F1853" s="2">
        <v>138</v>
      </c>
    </row>
    <row r="1854" spans="1:6" x14ac:dyDescent="0.2">
      <c r="A1854" s="6" t="s">
        <v>287</v>
      </c>
      <c r="B1854" s="4">
        <v>283</v>
      </c>
      <c r="C1854" s="2" t="s">
        <v>2308</v>
      </c>
      <c r="D1854" s="2" t="s">
        <v>5</v>
      </c>
      <c r="E1854" s="5" t="s">
        <v>412</v>
      </c>
      <c r="F1854" s="2">
        <v>169</v>
      </c>
    </row>
    <row r="1855" spans="1:6" x14ac:dyDescent="0.2">
      <c r="A1855" s="6" t="s">
        <v>322</v>
      </c>
      <c r="B1855" s="4">
        <v>318</v>
      </c>
      <c r="C1855" s="2" t="s">
        <v>2307</v>
      </c>
      <c r="D1855" s="2" t="s">
        <v>2</v>
      </c>
      <c r="E1855" s="5" t="s">
        <v>411</v>
      </c>
      <c r="F1855" s="2">
        <v>125</v>
      </c>
    </row>
    <row r="1856" spans="1:6" x14ac:dyDescent="0.2">
      <c r="A1856" s="6" t="s">
        <v>337</v>
      </c>
      <c r="B1856" s="4">
        <v>333</v>
      </c>
      <c r="C1856" s="2" t="s">
        <v>2307</v>
      </c>
      <c r="D1856" s="2" t="s">
        <v>3</v>
      </c>
      <c r="E1856" s="5" t="s">
        <v>412</v>
      </c>
      <c r="F1856" s="2">
        <v>211</v>
      </c>
    </row>
    <row r="1857" spans="1:6" x14ac:dyDescent="0.2">
      <c r="A1857" s="6" t="s">
        <v>39</v>
      </c>
      <c r="B1857" s="4">
        <v>34</v>
      </c>
      <c r="C1857" s="2" t="s">
        <v>2309</v>
      </c>
      <c r="D1857" s="2" t="s">
        <v>3</v>
      </c>
      <c r="E1857" s="5" t="s">
        <v>411</v>
      </c>
      <c r="F1857" s="2">
        <v>227</v>
      </c>
    </row>
    <row r="1858" spans="1:6" x14ac:dyDescent="0.2">
      <c r="A1858" s="6" t="s">
        <v>162</v>
      </c>
      <c r="B1858" s="4">
        <v>157</v>
      </c>
      <c r="C1858" s="2" t="s">
        <v>2310</v>
      </c>
      <c r="D1858" s="2" t="s">
        <v>4</v>
      </c>
      <c r="E1858" s="7" t="s">
        <v>409</v>
      </c>
      <c r="F1858" s="2">
        <v>123</v>
      </c>
    </row>
    <row r="1859" spans="1:6" x14ac:dyDescent="0.2">
      <c r="A1859" s="6" t="s">
        <v>283</v>
      </c>
      <c r="B1859" s="4">
        <v>279</v>
      </c>
      <c r="C1859" s="2" t="s">
        <v>2308</v>
      </c>
      <c r="D1859" s="2" t="s">
        <v>5</v>
      </c>
      <c r="E1859" s="6" t="s">
        <v>408</v>
      </c>
      <c r="F1859" s="2">
        <v>222</v>
      </c>
    </row>
    <row r="1860" spans="1:6" x14ac:dyDescent="0.2">
      <c r="A1860" s="6" t="s">
        <v>88</v>
      </c>
      <c r="B1860" s="4">
        <v>83</v>
      </c>
      <c r="C1860" s="2" t="s">
        <v>2309</v>
      </c>
      <c r="D1860" s="2" t="s">
        <v>5</v>
      </c>
      <c r="E1860" s="5" t="s">
        <v>409</v>
      </c>
      <c r="F1860" s="2">
        <v>178</v>
      </c>
    </row>
    <row r="1861" spans="1:6" x14ac:dyDescent="0.2">
      <c r="A1861" s="6" t="s">
        <v>328</v>
      </c>
      <c r="B1861" s="4">
        <v>324</v>
      </c>
      <c r="C1861" s="2" t="s">
        <v>2307</v>
      </c>
      <c r="D1861" s="2" t="s">
        <v>2</v>
      </c>
      <c r="E1861" s="5" t="s">
        <v>410</v>
      </c>
      <c r="F1861" s="2">
        <v>224</v>
      </c>
    </row>
    <row r="1862" spans="1:6" x14ac:dyDescent="0.2">
      <c r="A1862" s="6" t="s">
        <v>157</v>
      </c>
      <c r="B1862" s="4">
        <v>152</v>
      </c>
      <c r="C1862" s="2" t="s">
        <v>2310</v>
      </c>
      <c r="D1862" s="2" t="s">
        <v>4</v>
      </c>
      <c r="E1862" s="5" t="s">
        <v>411</v>
      </c>
      <c r="F1862" s="2">
        <v>250</v>
      </c>
    </row>
    <row r="1863" spans="1:6" x14ac:dyDescent="0.2">
      <c r="A1863" s="6" t="s">
        <v>83</v>
      </c>
      <c r="B1863" s="4">
        <v>78</v>
      </c>
      <c r="C1863" s="2" t="s">
        <v>2309</v>
      </c>
      <c r="D1863" s="2" t="s">
        <v>5</v>
      </c>
      <c r="E1863" s="5" t="s">
        <v>412</v>
      </c>
      <c r="F1863" s="2">
        <v>183</v>
      </c>
    </row>
    <row r="1864" spans="1:6" x14ac:dyDescent="0.2">
      <c r="A1864" s="6" t="s">
        <v>215</v>
      </c>
      <c r="B1864" s="4">
        <v>211</v>
      </c>
      <c r="C1864" s="2" t="s">
        <v>2308</v>
      </c>
      <c r="D1864" s="2" t="s">
        <v>2</v>
      </c>
      <c r="E1864" s="6" t="s">
        <v>408</v>
      </c>
      <c r="F1864" s="2">
        <v>293</v>
      </c>
    </row>
    <row r="1865" spans="1:6" x14ac:dyDescent="0.2">
      <c r="A1865" s="6" t="s">
        <v>100</v>
      </c>
      <c r="B1865" s="4">
        <v>95</v>
      </c>
      <c r="C1865" s="2" t="s">
        <v>2309</v>
      </c>
      <c r="D1865" s="2" t="s">
        <v>5</v>
      </c>
      <c r="E1865" s="5" t="s">
        <v>411</v>
      </c>
      <c r="F1865" s="2">
        <v>255</v>
      </c>
    </row>
    <row r="1866" spans="1:6" x14ac:dyDescent="0.2">
      <c r="A1866" s="6" t="s">
        <v>380</v>
      </c>
      <c r="B1866" s="4">
        <v>376</v>
      </c>
      <c r="C1866" s="2" t="s">
        <v>2307</v>
      </c>
      <c r="D1866" s="2" t="s">
        <v>5</v>
      </c>
      <c r="E1866" s="5" t="s">
        <v>410</v>
      </c>
      <c r="F1866" s="2">
        <v>293</v>
      </c>
    </row>
    <row r="1867" spans="1:6" x14ac:dyDescent="0.2">
      <c r="A1867" s="6" t="s">
        <v>238</v>
      </c>
      <c r="B1867" s="4">
        <v>234</v>
      </c>
      <c r="C1867" s="2" t="s">
        <v>2308</v>
      </c>
      <c r="D1867" s="2" t="s">
        <v>3</v>
      </c>
      <c r="E1867" s="6" t="s">
        <v>408</v>
      </c>
      <c r="F1867" s="2">
        <v>125</v>
      </c>
    </row>
    <row r="1868" spans="1:6" x14ac:dyDescent="0.2">
      <c r="A1868" s="6" t="s">
        <v>399</v>
      </c>
      <c r="B1868" s="4">
        <v>395</v>
      </c>
      <c r="C1868" s="2" t="s">
        <v>2307</v>
      </c>
      <c r="D1868" s="2" t="s">
        <v>5</v>
      </c>
      <c r="E1868" s="5" t="s">
        <v>410</v>
      </c>
      <c r="F1868" s="2">
        <v>259</v>
      </c>
    </row>
    <row r="1869" spans="1:6" x14ac:dyDescent="0.2">
      <c r="A1869" s="6" t="s">
        <v>214</v>
      </c>
      <c r="B1869" s="4">
        <v>210</v>
      </c>
      <c r="C1869" s="2" t="s">
        <v>2308</v>
      </c>
      <c r="D1869" s="2" t="s">
        <v>2</v>
      </c>
      <c r="E1869" s="5" t="s">
        <v>412</v>
      </c>
      <c r="F1869" s="2">
        <v>221</v>
      </c>
    </row>
    <row r="1870" spans="1:6" x14ac:dyDescent="0.2">
      <c r="A1870" s="6" t="s">
        <v>85</v>
      </c>
      <c r="B1870" s="4">
        <v>80</v>
      </c>
      <c r="C1870" s="2" t="s">
        <v>2309</v>
      </c>
      <c r="D1870" s="2" t="s">
        <v>5</v>
      </c>
      <c r="E1870" s="5" t="s">
        <v>412</v>
      </c>
      <c r="F1870" s="2">
        <v>192</v>
      </c>
    </row>
    <row r="1871" spans="1:6" x14ac:dyDescent="0.2">
      <c r="A1871" s="6" t="s">
        <v>348</v>
      </c>
      <c r="B1871" s="4">
        <v>344</v>
      </c>
      <c r="C1871" s="2" t="s">
        <v>2307</v>
      </c>
      <c r="D1871" s="2" t="s">
        <v>3</v>
      </c>
      <c r="E1871" s="5" t="s">
        <v>408</v>
      </c>
      <c r="F1871" s="2">
        <v>180</v>
      </c>
    </row>
    <row r="1872" spans="1:6" x14ac:dyDescent="0.2">
      <c r="A1872" s="6" t="s">
        <v>38</v>
      </c>
      <c r="B1872" s="4">
        <v>33</v>
      </c>
      <c r="C1872" s="2" t="s">
        <v>2309</v>
      </c>
      <c r="D1872" s="2" t="s">
        <v>3</v>
      </c>
      <c r="E1872" s="5" t="s">
        <v>411</v>
      </c>
      <c r="F1872" s="2">
        <v>121</v>
      </c>
    </row>
    <row r="1873" spans="1:6" x14ac:dyDescent="0.2">
      <c r="A1873" s="6" t="s">
        <v>275</v>
      </c>
      <c r="B1873" s="4">
        <v>271</v>
      </c>
      <c r="C1873" s="2" t="s">
        <v>2308</v>
      </c>
      <c r="D1873" s="2" t="s">
        <v>5</v>
      </c>
      <c r="E1873" s="5" t="s">
        <v>411</v>
      </c>
      <c r="F1873" s="2">
        <v>264</v>
      </c>
    </row>
    <row r="1874" spans="1:6" x14ac:dyDescent="0.2">
      <c r="A1874" s="6" t="s">
        <v>133</v>
      </c>
      <c r="B1874" s="4">
        <v>128</v>
      </c>
      <c r="C1874" s="2" t="s">
        <v>2310</v>
      </c>
      <c r="D1874" s="2" t="s">
        <v>3</v>
      </c>
      <c r="E1874" s="7" t="s">
        <v>409</v>
      </c>
      <c r="F1874" s="2">
        <v>298</v>
      </c>
    </row>
    <row r="1875" spans="1:6" x14ac:dyDescent="0.2">
      <c r="A1875" s="6" t="s">
        <v>340</v>
      </c>
      <c r="B1875" s="4">
        <v>336</v>
      </c>
      <c r="C1875" s="2" t="s">
        <v>2307</v>
      </c>
      <c r="D1875" s="2" t="s">
        <v>3</v>
      </c>
      <c r="E1875" s="5" t="s">
        <v>410</v>
      </c>
      <c r="F1875" s="2">
        <v>146</v>
      </c>
    </row>
    <row r="1876" spans="1:6" x14ac:dyDescent="0.2">
      <c r="A1876" s="6" t="s">
        <v>140</v>
      </c>
      <c r="B1876" s="4">
        <v>135</v>
      </c>
      <c r="C1876" s="2" t="s">
        <v>2310</v>
      </c>
      <c r="D1876" s="2" t="s">
        <v>3</v>
      </c>
      <c r="E1876" s="7" t="s">
        <v>411</v>
      </c>
      <c r="F1876" s="2">
        <v>247</v>
      </c>
    </row>
    <row r="1877" spans="1:6" x14ac:dyDescent="0.2">
      <c r="A1877" s="6" t="s">
        <v>172</v>
      </c>
      <c r="B1877" s="4">
        <v>167</v>
      </c>
      <c r="C1877" s="2" t="s">
        <v>2310</v>
      </c>
      <c r="D1877" s="2" t="s">
        <v>4</v>
      </c>
      <c r="E1877" s="5" t="s">
        <v>410</v>
      </c>
      <c r="F1877" s="2">
        <v>131</v>
      </c>
    </row>
    <row r="1878" spans="1:6" x14ac:dyDescent="0.2">
      <c r="A1878" s="6" t="s">
        <v>161</v>
      </c>
      <c r="B1878" s="4">
        <v>156</v>
      </c>
      <c r="C1878" s="2" t="s">
        <v>2310</v>
      </c>
      <c r="D1878" s="2" t="s">
        <v>4</v>
      </c>
      <c r="E1878" s="5" t="s">
        <v>412</v>
      </c>
      <c r="F1878" s="2">
        <v>148</v>
      </c>
    </row>
    <row r="1879" spans="1:6" x14ac:dyDescent="0.2">
      <c r="A1879" s="6" t="s">
        <v>375</v>
      </c>
      <c r="B1879" s="4">
        <v>371</v>
      </c>
      <c r="C1879" s="2" t="s">
        <v>2307</v>
      </c>
      <c r="D1879" s="2" t="s">
        <v>4</v>
      </c>
      <c r="E1879" s="5" t="s">
        <v>410</v>
      </c>
      <c r="F1879" s="2">
        <v>283</v>
      </c>
    </row>
    <row r="1880" spans="1:6" x14ac:dyDescent="0.2">
      <c r="A1880" s="6" t="s">
        <v>174</v>
      </c>
      <c r="B1880" s="4">
        <v>169</v>
      </c>
      <c r="C1880" s="2" t="s">
        <v>2310</v>
      </c>
      <c r="D1880" s="2" t="s">
        <v>5</v>
      </c>
      <c r="E1880" s="5" t="s">
        <v>412</v>
      </c>
      <c r="F1880" s="2">
        <v>286</v>
      </c>
    </row>
    <row r="1881" spans="1:6" x14ac:dyDescent="0.2">
      <c r="A1881" s="6" t="s">
        <v>396</v>
      </c>
      <c r="B1881" s="4">
        <v>392</v>
      </c>
      <c r="C1881" s="2" t="s">
        <v>2307</v>
      </c>
      <c r="D1881" s="2" t="s">
        <v>5</v>
      </c>
      <c r="E1881" s="5" t="s">
        <v>411</v>
      </c>
      <c r="F1881" s="2">
        <v>171</v>
      </c>
    </row>
    <row r="1882" spans="1:6" x14ac:dyDescent="0.2">
      <c r="A1882" s="6" t="s">
        <v>60</v>
      </c>
      <c r="B1882" s="4">
        <v>55</v>
      </c>
      <c r="C1882" s="2" t="s">
        <v>2309</v>
      </c>
      <c r="D1882" s="2" t="s">
        <v>4</v>
      </c>
      <c r="E1882" s="5" t="s">
        <v>411</v>
      </c>
      <c r="F1882" s="2">
        <v>237</v>
      </c>
    </row>
    <row r="1883" spans="1:6" x14ac:dyDescent="0.2">
      <c r="A1883" s="6" t="s">
        <v>6</v>
      </c>
      <c r="B1883" s="4">
        <v>1</v>
      </c>
      <c r="C1883" s="2" t="s">
        <v>2309</v>
      </c>
      <c r="D1883" s="2" t="s">
        <v>2</v>
      </c>
      <c r="E1883" s="5" t="s">
        <v>409</v>
      </c>
      <c r="F1883" s="2">
        <v>227</v>
      </c>
    </row>
    <row r="1884" spans="1:6" x14ac:dyDescent="0.2">
      <c r="A1884" s="6" t="s">
        <v>374</v>
      </c>
      <c r="B1884" s="4">
        <v>370</v>
      </c>
      <c r="C1884" s="2" t="s">
        <v>2307</v>
      </c>
      <c r="D1884" s="2" t="s">
        <v>4</v>
      </c>
      <c r="E1884" s="5" t="s">
        <v>408</v>
      </c>
      <c r="F1884" s="2">
        <v>189</v>
      </c>
    </row>
    <row r="1885" spans="1:6" x14ac:dyDescent="0.2">
      <c r="A1885" s="6" t="s">
        <v>323</v>
      </c>
      <c r="B1885" s="4">
        <v>319</v>
      </c>
      <c r="C1885" s="2" t="s">
        <v>2307</v>
      </c>
      <c r="D1885" s="2" t="s">
        <v>2</v>
      </c>
      <c r="E1885" s="5" t="s">
        <v>409</v>
      </c>
      <c r="F1885" s="2">
        <v>122</v>
      </c>
    </row>
    <row r="1886" spans="1:6" x14ac:dyDescent="0.2">
      <c r="A1886" s="6" t="s">
        <v>161</v>
      </c>
      <c r="B1886" s="4">
        <v>156</v>
      </c>
      <c r="C1886" s="2" t="s">
        <v>2310</v>
      </c>
      <c r="D1886" s="2" t="s">
        <v>4</v>
      </c>
      <c r="E1886" s="5" t="s">
        <v>410</v>
      </c>
      <c r="F1886" s="2">
        <v>293</v>
      </c>
    </row>
    <row r="1887" spans="1:6" x14ac:dyDescent="0.2">
      <c r="A1887" s="6" t="s">
        <v>45</v>
      </c>
      <c r="B1887" s="4">
        <v>40</v>
      </c>
      <c r="C1887" s="2" t="s">
        <v>2309</v>
      </c>
      <c r="D1887" s="2" t="s">
        <v>3</v>
      </c>
      <c r="E1887" s="5" t="s">
        <v>408</v>
      </c>
      <c r="F1887" s="2">
        <v>170</v>
      </c>
    </row>
    <row r="1888" spans="1:6" x14ac:dyDescent="0.2">
      <c r="A1888" s="6" t="s">
        <v>143</v>
      </c>
      <c r="B1888" s="4">
        <v>138</v>
      </c>
      <c r="C1888" s="2" t="s">
        <v>2310</v>
      </c>
      <c r="D1888" s="2" t="s">
        <v>3</v>
      </c>
      <c r="E1888" s="5" t="s">
        <v>412</v>
      </c>
      <c r="F1888" s="2">
        <v>290</v>
      </c>
    </row>
    <row r="1889" spans="1:6" x14ac:dyDescent="0.2">
      <c r="A1889" s="6" t="s">
        <v>151</v>
      </c>
      <c r="B1889" s="4">
        <v>146</v>
      </c>
      <c r="C1889" s="2" t="s">
        <v>2310</v>
      </c>
      <c r="D1889" s="2" t="s">
        <v>4</v>
      </c>
      <c r="E1889" s="7" t="s">
        <v>409</v>
      </c>
      <c r="F1889" s="2">
        <v>263</v>
      </c>
    </row>
    <row r="1890" spans="1:6" x14ac:dyDescent="0.2">
      <c r="A1890" s="6" t="s">
        <v>80</v>
      </c>
      <c r="B1890" s="4">
        <v>75</v>
      </c>
      <c r="C1890" s="2" t="s">
        <v>2309</v>
      </c>
      <c r="D1890" s="2" t="s">
        <v>5</v>
      </c>
      <c r="E1890" s="5" t="s">
        <v>409</v>
      </c>
      <c r="F1890" s="2">
        <v>204</v>
      </c>
    </row>
    <row r="1891" spans="1:6" x14ac:dyDescent="0.2">
      <c r="A1891" s="6" t="s">
        <v>366</v>
      </c>
      <c r="B1891" s="4">
        <v>362</v>
      </c>
      <c r="C1891" s="2" t="s">
        <v>2307</v>
      </c>
      <c r="D1891" s="2" t="s">
        <v>4</v>
      </c>
      <c r="E1891" s="5" t="s">
        <v>408</v>
      </c>
      <c r="F1891" s="2">
        <v>222</v>
      </c>
    </row>
    <row r="1892" spans="1:6" x14ac:dyDescent="0.2">
      <c r="A1892" s="6" t="s">
        <v>203</v>
      </c>
      <c r="B1892" s="4">
        <v>199</v>
      </c>
      <c r="C1892" s="2" t="s">
        <v>2308</v>
      </c>
      <c r="D1892" s="2" t="s">
        <v>2</v>
      </c>
      <c r="E1892" s="5" t="s">
        <v>410</v>
      </c>
      <c r="F1892" s="2">
        <v>248</v>
      </c>
    </row>
    <row r="1893" spans="1:6" x14ac:dyDescent="0.2">
      <c r="A1893" s="6" t="s">
        <v>216</v>
      </c>
      <c r="B1893" s="4">
        <v>212</v>
      </c>
      <c r="C1893" s="2" t="s">
        <v>2308</v>
      </c>
      <c r="D1893" s="2" t="s">
        <v>2</v>
      </c>
      <c r="E1893" s="5" t="s">
        <v>410</v>
      </c>
      <c r="F1893" s="2">
        <v>241</v>
      </c>
    </row>
    <row r="1894" spans="1:6" x14ac:dyDescent="0.2">
      <c r="A1894" s="6" t="s">
        <v>279</v>
      </c>
      <c r="B1894" s="4">
        <v>275</v>
      </c>
      <c r="C1894" s="2" t="s">
        <v>2308</v>
      </c>
      <c r="D1894" s="2" t="s">
        <v>5</v>
      </c>
      <c r="E1894" s="5" t="s">
        <v>409</v>
      </c>
      <c r="F1894" s="2">
        <v>193</v>
      </c>
    </row>
    <row r="1895" spans="1:6" x14ac:dyDescent="0.2">
      <c r="A1895" s="6" t="s">
        <v>273</v>
      </c>
      <c r="B1895" s="4">
        <v>269</v>
      </c>
      <c r="C1895" s="2" t="s">
        <v>2308</v>
      </c>
      <c r="D1895" s="2" t="s">
        <v>4</v>
      </c>
      <c r="E1895" s="7" t="s">
        <v>409</v>
      </c>
      <c r="F1895" s="2">
        <v>142</v>
      </c>
    </row>
    <row r="1896" spans="1:6" x14ac:dyDescent="0.2">
      <c r="A1896" s="6" t="s">
        <v>345</v>
      </c>
      <c r="B1896" s="4">
        <v>341</v>
      </c>
      <c r="C1896" s="2" t="s">
        <v>2307</v>
      </c>
      <c r="D1896" s="2" t="s">
        <v>3</v>
      </c>
      <c r="E1896" s="5" t="s">
        <v>408</v>
      </c>
      <c r="F1896" s="2">
        <v>290</v>
      </c>
    </row>
    <row r="1897" spans="1:6" x14ac:dyDescent="0.2">
      <c r="A1897" s="6" t="s">
        <v>138</v>
      </c>
      <c r="B1897" s="4">
        <v>133</v>
      </c>
      <c r="C1897" s="2" t="s">
        <v>2310</v>
      </c>
      <c r="D1897" s="2" t="s">
        <v>3</v>
      </c>
      <c r="E1897" s="7" t="s">
        <v>411</v>
      </c>
      <c r="F1897" s="2">
        <v>209</v>
      </c>
    </row>
    <row r="1898" spans="1:6" x14ac:dyDescent="0.2">
      <c r="A1898" s="6" t="s">
        <v>156</v>
      </c>
      <c r="B1898" s="4">
        <v>151</v>
      </c>
      <c r="C1898" s="2" t="s">
        <v>2310</v>
      </c>
      <c r="D1898" s="2" t="s">
        <v>4</v>
      </c>
      <c r="E1898" s="5" t="s">
        <v>410</v>
      </c>
      <c r="F1898" s="2">
        <v>202</v>
      </c>
    </row>
    <row r="1899" spans="1:6" x14ac:dyDescent="0.2">
      <c r="A1899" s="6" t="s">
        <v>343</v>
      </c>
      <c r="B1899" s="4">
        <v>339</v>
      </c>
      <c r="C1899" s="2" t="s">
        <v>2307</v>
      </c>
      <c r="D1899" s="2" t="s">
        <v>3</v>
      </c>
      <c r="E1899" s="5" t="s">
        <v>409</v>
      </c>
      <c r="F1899" s="2">
        <v>162</v>
      </c>
    </row>
    <row r="1900" spans="1:6" x14ac:dyDescent="0.2">
      <c r="A1900" s="6" t="s">
        <v>263</v>
      </c>
      <c r="B1900" s="4">
        <v>259</v>
      </c>
      <c r="C1900" s="2" t="s">
        <v>2308</v>
      </c>
      <c r="D1900" s="2" t="s">
        <v>4</v>
      </c>
      <c r="E1900" s="6" t="s">
        <v>408</v>
      </c>
      <c r="F1900" s="2">
        <v>182</v>
      </c>
    </row>
    <row r="1901" spans="1:6" x14ac:dyDescent="0.2">
      <c r="A1901" s="6" t="s">
        <v>146</v>
      </c>
      <c r="B1901" s="4">
        <v>141</v>
      </c>
      <c r="C1901" s="2" t="s">
        <v>2310</v>
      </c>
      <c r="D1901" s="2" t="s">
        <v>4</v>
      </c>
      <c r="E1901" s="5" t="s">
        <v>410</v>
      </c>
      <c r="F1901" s="2">
        <v>270</v>
      </c>
    </row>
    <row r="1902" spans="1:6" x14ac:dyDescent="0.2">
      <c r="A1902" s="6" t="s">
        <v>75</v>
      </c>
      <c r="B1902" s="4">
        <v>70</v>
      </c>
      <c r="C1902" s="2" t="s">
        <v>2309</v>
      </c>
      <c r="D1902" s="2" t="s">
        <v>4</v>
      </c>
      <c r="E1902" s="5" t="s">
        <v>409</v>
      </c>
      <c r="F1902" s="2">
        <v>288</v>
      </c>
    </row>
    <row r="1903" spans="1:6" x14ac:dyDescent="0.2">
      <c r="A1903" s="6" t="s">
        <v>65</v>
      </c>
      <c r="B1903" s="4">
        <v>60</v>
      </c>
      <c r="C1903" s="2" t="s">
        <v>2309</v>
      </c>
      <c r="D1903" s="2" t="s">
        <v>4</v>
      </c>
      <c r="E1903" s="5" t="s">
        <v>408</v>
      </c>
      <c r="F1903" s="2">
        <v>204</v>
      </c>
    </row>
    <row r="1904" spans="1:6" x14ac:dyDescent="0.2">
      <c r="A1904" s="6" t="s">
        <v>164</v>
      </c>
      <c r="B1904" s="4">
        <v>159</v>
      </c>
      <c r="C1904" s="2" t="s">
        <v>2310</v>
      </c>
      <c r="D1904" s="2" t="s">
        <v>4</v>
      </c>
      <c r="E1904" s="5" t="s">
        <v>411</v>
      </c>
      <c r="F1904" s="2">
        <v>284</v>
      </c>
    </row>
    <row r="1905" spans="1:6" x14ac:dyDescent="0.2">
      <c r="A1905" s="6" t="s">
        <v>209</v>
      </c>
      <c r="B1905" s="4">
        <v>205</v>
      </c>
      <c r="C1905" s="2" t="s">
        <v>2308</v>
      </c>
      <c r="D1905" s="2" t="s">
        <v>2</v>
      </c>
      <c r="E1905" s="5" t="s">
        <v>412</v>
      </c>
      <c r="F1905" s="2">
        <v>130</v>
      </c>
    </row>
    <row r="1906" spans="1:6" x14ac:dyDescent="0.2">
      <c r="A1906" s="6" t="s">
        <v>156</v>
      </c>
      <c r="B1906" s="4">
        <v>151</v>
      </c>
      <c r="C1906" s="2" t="s">
        <v>2310</v>
      </c>
      <c r="D1906" s="2" t="s">
        <v>4</v>
      </c>
      <c r="E1906" s="7" t="s">
        <v>409</v>
      </c>
      <c r="F1906" s="2">
        <v>194</v>
      </c>
    </row>
    <row r="1907" spans="1:6" x14ac:dyDescent="0.2">
      <c r="A1907" s="6" t="s">
        <v>291</v>
      </c>
      <c r="B1907" s="4">
        <v>287</v>
      </c>
      <c r="C1907" s="2" t="s">
        <v>2308</v>
      </c>
      <c r="D1907" s="2" t="s">
        <v>5</v>
      </c>
      <c r="E1907" s="5" t="s">
        <v>412</v>
      </c>
      <c r="F1907" s="2">
        <v>210</v>
      </c>
    </row>
    <row r="1908" spans="1:6" x14ac:dyDescent="0.2">
      <c r="A1908" s="6" t="s">
        <v>392</v>
      </c>
      <c r="B1908" s="4">
        <v>388</v>
      </c>
      <c r="C1908" s="2" t="s">
        <v>2307</v>
      </c>
      <c r="D1908" s="2" t="s">
        <v>5</v>
      </c>
      <c r="E1908" s="5" t="s">
        <v>408</v>
      </c>
      <c r="F1908" s="2">
        <v>276</v>
      </c>
    </row>
    <row r="1909" spans="1:6" x14ac:dyDescent="0.2">
      <c r="A1909" s="6" t="s">
        <v>384</v>
      </c>
      <c r="B1909" s="4">
        <v>380</v>
      </c>
      <c r="C1909" s="2" t="s">
        <v>2307</v>
      </c>
      <c r="D1909" s="2" t="s">
        <v>5</v>
      </c>
      <c r="E1909" s="5" t="s">
        <v>411</v>
      </c>
      <c r="F1909" s="2">
        <v>171</v>
      </c>
    </row>
    <row r="1910" spans="1:6" x14ac:dyDescent="0.2">
      <c r="A1910" s="6" t="s">
        <v>18</v>
      </c>
      <c r="B1910" s="4">
        <v>13</v>
      </c>
      <c r="C1910" s="2" t="s">
        <v>2309</v>
      </c>
      <c r="D1910" s="2" t="s">
        <v>2</v>
      </c>
      <c r="E1910" s="5" t="s">
        <v>411</v>
      </c>
      <c r="F1910" s="2">
        <v>181</v>
      </c>
    </row>
    <row r="1911" spans="1:6" x14ac:dyDescent="0.2">
      <c r="A1911" s="6" t="s">
        <v>407</v>
      </c>
      <c r="B1911" s="4">
        <v>403</v>
      </c>
      <c r="C1911" s="2" t="s">
        <v>2307</v>
      </c>
      <c r="D1911" s="2" t="s">
        <v>5</v>
      </c>
      <c r="E1911" s="5" t="s">
        <v>412</v>
      </c>
      <c r="F1911" s="2">
        <v>163</v>
      </c>
    </row>
    <row r="1912" spans="1:6" x14ac:dyDescent="0.2">
      <c r="A1912" s="6" t="s">
        <v>297</v>
      </c>
      <c r="B1912" s="4">
        <v>293</v>
      </c>
      <c r="C1912" s="2" t="s">
        <v>2308</v>
      </c>
      <c r="D1912" s="2" t="s">
        <v>5</v>
      </c>
      <c r="E1912" s="5" t="s">
        <v>411</v>
      </c>
      <c r="F1912" s="2">
        <v>240</v>
      </c>
    </row>
    <row r="1913" spans="1:6" x14ac:dyDescent="0.2">
      <c r="A1913" s="6" t="s">
        <v>291</v>
      </c>
      <c r="B1913" s="4">
        <v>287</v>
      </c>
      <c r="C1913" s="2" t="s">
        <v>2308</v>
      </c>
      <c r="D1913" s="2" t="s">
        <v>5</v>
      </c>
      <c r="E1913" s="6" t="s">
        <v>408</v>
      </c>
      <c r="F1913" s="2">
        <v>140</v>
      </c>
    </row>
    <row r="1914" spans="1:6" x14ac:dyDescent="0.2">
      <c r="A1914" s="6" t="s">
        <v>49</v>
      </c>
      <c r="B1914" s="4">
        <v>44</v>
      </c>
      <c r="C1914" s="2" t="s">
        <v>2309</v>
      </c>
      <c r="D1914" s="2" t="s">
        <v>3</v>
      </c>
      <c r="E1914" s="5" t="s">
        <v>410</v>
      </c>
      <c r="F1914" s="2">
        <v>220</v>
      </c>
    </row>
    <row r="1915" spans="1:6" x14ac:dyDescent="0.2">
      <c r="A1915" s="6" t="s">
        <v>344</v>
      </c>
      <c r="B1915" s="4">
        <v>340</v>
      </c>
      <c r="C1915" s="2" t="s">
        <v>2307</v>
      </c>
      <c r="D1915" s="2" t="s">
        <v>3</v>
      </c>
      <c r="E1915" s="5" t="s">
        <v>411</v>
      </c>
      <c r="F1915" s="2">
        <v>179</v>
      </c>
    </row>
    <row r="1916" spans="1:6" x14ac:dyDescent="0.2">
      <c r="A1916" s="6" t="s">
        <v>213</v>
      </c>
      <c r="B1916" s="4">
        <v>209</v>
      </c>
      <c r="C1916" s="2" t="s">
        <v>2308</v>
      </c>
      <c r="D1916" s="2" t="s">
        <v>2</v>
      </c>
      <c r="E1916" s="5" t="s">
        <v>409</v>
      </c>
      <c r="F1916" s="2">
        <v>231</v>
      </c>
    </row>
    <row r="1917" spans="1:6" x14ac:dyDescent="0.2">
      <c r="A1917" s="6" t="s">
        <v>283</v>
      </c>
      <c r="B1917" s="4">
        <v>279</v>
      </c>
      <c r="C1917" s="2" t="s">
        <v>2308</v>
      </c>
      <c r="D1917" s="2" t="s">
        <v>5</v>
      </c>
      <c r="E1917" s="5" t="s">
        <v>409</v>
      </c>
      <c r="F1917" s="2">
        <v>277</v>
      </c>
    </row>
    <row r="1918" spans="1:6" x14ac:dyDescent="0.2">
      <c r="A1918" s="6" t="s">
        <v>93</v>
      </c>
      <c r="B1918" s="4">
        <v>88</v>
      </c>
      <c r="C1918" s="2" t="s">
        <v>2309</v>
      </c>
      <c r="D1918" s="2" t="s">
        <v>5</v>
      </c>
      <c r="E1918" s="5" t="s">
        <v>411</v>
      </c>
      <c r="F1918" s="2">
        <v>296</v>
      </c>
    </row>
    <row r="1919" spans="1:6" x14ac:dyDescent="0.2">
      <c r="A1919" s="6" t="s">
        <v>327</v>
      </c>
      <c r="B1919" s="4">
        <v>323</v>
      </c>
      <c r="C1919" s="2" t="s">
        <v>2307</v>
      </c>
      <c r="D1919" s="2" t="s">
        <v>2</v>
      </c>
      <c r="E1919" s="5" t="s">
        <v>411</v>
      </c>
      <c r="F1919" s="2">
        <v>228</v>
      </c>
    </row>
    <row r="1920" spans="1:6" x14ac:dyDescent="0.2">
      <c r="A1920" s="6" t="s">
        <v>68</v>
      </c>
      <c r="B1920" s="4">
        <v>63</v>
      </c>
      <c r="C1920" s="2" t="s">
        <v>2309</v>
      </c>
      <c r="D1920" s="2" t="s">
        <v>4</v>
      </c>
      <c r="E1920" s="5" t="s">
        <v>408</v>
      </c>
      <c r="F1920" s="2">
        <v>222</v>
      </c>
    </row>
    <row r="1921" spans="1:6" x14ac:dyDescent="0.2">
      <c r="A1921" s="6" t="s">
        <v>343</v>
      </c>
      <c r="B1921" s="4">
        <v>339</v>
      </c>
      <c r="C1921" s="2" t="s">
        <v>2307</v>
      </c>
      <c r="D1921" s="2" t="s">
        <v>3</v>
      </c>
      <c r="E1921" s="5" t="s">
        <v>412</v>
      </c>
      <c r="F1921" s="2">
        <v>271</v>
      </c>
    </row>
    <row r="1922" spans="1:6" x14ac:dyDescent="0.2">
      <c r="A1922" s="6" t="s">
        <v>272</v>
      </c>
      <c r="B1922" s="4">
        <v>268</v>
      </c>
      <c r="C1922" s="2" t="s">
        <v>2308</v>
      </c>
      <c r="D1922" s="2" t="s">
        <v>4</v>
      </c>
      <c r="E1922" s="5" t="s">
        <v>410</v>
      </c>
      <c r="F1922" s="2">
        <v>221</v>
      </c>
    </row>
    <row r="1923" spans="1:6" x14ac:dyDescent="0.2">
      <c r="A1923" s="6" t="s">
        <v>101</v>
      </c>
      <c r="B1923" s="4">
        <v>96</v>
      </c>
      <c r="C1923" s="2" t="s">
        <v>2309</v>
      </c>
      <c r="D1923" s="2" t="s">
        <v>5</v>
      </c>
      <c r="E1923" s="5" t="s">
        <v>410</v>
      </c>
      <c r="F1923" s="2">
        <v>216</v>
      </c>
    </row>
    <row r="1924" spans="1:6" x14ac:dyDescent="0.2">
      <c r="A1924" s="6" t="s">
        <v>390</v>
      </c>
      <c r="B1924" s="4">
        <v>386</v>
      </c>
      <c r="C1924" s="2" t="s">
        <v>2307</v>
      </c>
      <c r="D1924" s="2" t="s">
        <v>5</v>
      </c>
      <c r="E1924" s="5" t="s">
        <v>409</v>
      </c>
      <c r="F1924" s="2">
        <v>194</v>
      </c>
    </row>
    <row r="1925" spans="1:6" x14ac:dyDescent="0.2">
      <c r="A1925" s="6" t="s">
        <v>203</v>
      </c>
      <c r="B1925" s="4">
        <v>199</v>
      </c>
      <c r="C1925" s="2" t="s">
        <v>2308</v>
      </c>
      <c r="D1925" s="2" t="s">
        <v>2</v>
      </c>
      <c r="E1925" s="5" t="s">
        <v>409</v>
      </c>
      <c r="F1925" s="2">
        <v>141</v>
      </c>
    </row>
    <row r="1926" spans="1:6" x14ac:dyDescent="0.2">
      <c r="A1926" s="6" t="s">
        <v>293</v>
      </c>
      <c r="B1926" s="4">
        <v>289</v>
      </c>
      <c r="C1926" s="2" t="s">
        <v>2308</v>
      </c>
      <c r="D1926" s="2" t="s">
        <v>5</v>
      </c>
      <c r="E1926" s="5" t="s">
        <v>411</v>
      </c>
      <c r="F1926" s="2">
        <v>175</v>
      </c>
    </row>
    <row r="1927" spans="1:6" x14ac:dyDescent="0.2">
      <c r="A1927" s="6" t="s">
        <v>209</v>
      </c>
      <c r="B1927" s="4">
        <v>205</v>
      </c>
      <c r="C1927" s="2" t="s">
        <v>2308</v>
      </c>
      <c r="D1927" s="2" t="s">
        <v>2</v>
      </c>
      <c r="E1927" s="6" t="s">
        <v>408</v>
      </c>
      <c r="F1927" s="2">
        <v>292</v>
      </c>
    </row>
    <row r="1928" spans="1:6" x14ac:dyDescent="0.2">
      <c r="A1928" s="6" t="s">
        <v>79</v>
      </c>
      <c r="B1928" s="4">
        <v>74</v>
      </c>
      <c r="C1928" s="2" t="s">
        <v>2309</v>
      </c>
      <c r="D1928" s="2" t="s">
        <v>5</v>
      </c>
      <c r="E1928" s="5" t="s">
        <v>409</v>
      </c>
      <c r="F1928" s="2">
        <v>184</v>
      </c>
    </row>
    <row r="1929" spans="1:6" x14ac:dyDescent="0.2">
      <c r="A1929" s="6" t="s">
        <v>130</v>
      </c>
      <c r="B1929" s="4">
        <v>125</v>
      </c>
      <c r="C1929" s="2" t="s">
        <v>2310</v>
      </c>
      <c r="D1929" s="2" t="s">
        <v>3</v>
      </c>
      <c r="E1929" s="5" t="s">
        <v>412</v>
      </c>
      <c r="F1929" s="2">
        <v>281</v>
      </c>
    </row>
    <row r="1930" spans="1:6" x14ac:dyDescent="0.2">
      <c r="A1930" s="6" t="s">
        <v>266</v>
      </c>
      <c r="B1930" s="4">
        <v>262</v>
      </c>
      <c r="C1930" s="2" t="s">
        <v>2308</v>
      </c>
      <c r="D1930" s="2" t="s">
        <v>4</v>
      </c>
      <c r="E1930" s="5" t="s">
        <v>411</v>
      </c>
      <c r="F1930" s="2">
        <v>145</v>
      </c>
    </row>
    <row r="1931" spans="1:6" x14ac:dyDescent="0.2">
      <c r="A1931" s="6" t="s">
        <v>268</v>
      </c>
      <c r="B1931" s="4">
        <v>264</v>
      </c>
      <c r="C1931" s="2" t="s">
        <v>2308</v>
      </c>
      <c r="D1931" s="2" t="s">
        <v>4</v>
      </c>
      <c r="E1931" s="5" t="s">
        <v>411</v>
      </c>
      <c r="F1931" s="2">
        <v>245</v>
      </c>
    </row>
    <row r="1932" spans="1:6" x14ac:dyDescent="0.2">
      <c r="A1932" s="6" t="s">
        <v>310</v>
      </c>
      <c r="B1932" s="4">
        <v>306</v>
      </c>
      <c r="C1932" s="2" t="s">
        <v>2307</v>
      </c>
      <c r="D1932" s="2" t="s">
        <v>2</v>
      </c>
      <c r="E1932" s="5" t="s">
        <v>408</v>
      </c>
      <c r="F1932" s="2">
        <v>140</v>
      </c>
    </row>
    <row r="1933" spans="1:6" x14ac:dyDescent="0.2">
      <c r="A1933" s="6" t="s">
        <v>183</v>
      </c>
      <c r="B1933" s="4">
        <v>178</v>
      </c>
      <c r="C1933" s="2" t="s">
        <v>2310</v>
      </c>
      <c r="D1933" s="2" t="s">
        <v>5</v>
      </c>
      <c r="E1933" s="7" t="s">
        <v>410</v>
      </c>
      <c r="F1933" s="2">
        <v>130</v>
      </c>
    </row>
    <row r="1934" spans="1:6" x14ac:dyDescent="0.2">
      <c r="A1934" s="6" t="s">
        <v>307</v>
      </c>
      <c r="B1934" s="4">
        <v>303</v>
      </c>
      <c r="C1934" s="2" t="s">
        <v>2307</v>
      </c>
      <c r="D1934" s="2" t="s">
        <v>2</v>
      </c>
      <c r="E1934" s="5" t="s">
        <v>410</v>
      </c>
      <c r="F1934" s="2">
        <v>217</v>
      </c>
    </row>
    <row r="1935" spans="1:6" x14ac:dyDescent="0.2">
      <c r="A1935" s="6" t="s">
        <v>166</v>
      </c>
      <c r="B1935" s="4">
        <v>161</v>
      </c>
      <c r="C1935" s="2" t="s">
        <v>2310</v>
      </c>
      <c r="D1935" s="2" t="s">
        <v>4</v>
      </c>
      <c r="E1935" s="7" t="s">
        <v>409</v>
      </c>
      <c r="F1935" s="2">
        <v>208</v>
      </c>
    </row>
    <row r="1936" spans="1:6" x14ac:dyDescent="0.2">
      <c r="A1936" s="6" t="s">
        <v>235</v>
      </c>
      <c r="B1936" s="4">
        <v>231</v>
      </c>
      <c r="C1936" s="2" t="s">
        <v>2308</v>
      </c>
      <c r="D1936" s="2" t="s">
        <v>3</v>
      </c>
      <c r="E1936" s="7" t="s">
        <v>411</v>
      </c>
      <c r="F1936" s="2">
        <v>267</v>
      </c>
    </row>
    <row r="1937" spans="1:6" x14ac:dyDescent="0.2">
      <c r="A1937" s="6" t="s">
        <v>21</v>
      </c>
      <c r="B1937" s="4">
        <v>16</v>
      </c>
      <c r="C1937" s="2" t="s">
        <v>2309</v>
      </c>
      <c r="D1937" s="2" t="s">
        <v>2</v>
      </c>
      <c r="E1937" s="5" t="s">
        <v>412</v>
      </c>
      <c r="F1937" s="2">
        <v>291</v>
      </c>
    </row>
    <row r="1938" spans="1:6" x14ac:dyDescent="0.2">
      <c r="A1938" s="6" t="s">
        <v>317</v>
      </c>
      <c r="B1938" s="4">
        <v>313</v>
      </c>
      <c r="C1938" s="2" t="s">
        <v>2307</v>
      </c>
      <c r="D1938" s="2" t="s">
        <v>2</v>
      </c>
      <c r="E1938" s="5" t="s">
        <v>408</v>
      </c>
      <c r="F1938" s="2">
        <v>154</v>
      </c>
    </row>
    <row r="1939" spans="1:6" x14ac:dyDescent="0.2">
      <c r="A1939" s="6" t="s">
        <v>333</v>
      </c>
      <c r="B1939" s="4">
        <v>329</v>
      </c>
      <c r="C1939" s="2" t="s">
        <v>2307</v>
      </c>
      <c r="D1939" s="2" t="s">
        <v>3</v>
      </c>
      <c r="E1939" s="5" t="s">
        <v>408</v>
      </c>
      <c r="F1939" s="2">
        <v>136</v>
      </c>
    </row>
    <row r="1940" spans="1:6" x14ac:dyDescent="0.2">
      <c r="A1940" s="6" t="s">
        <v>322</v>
      </c>
      <c r="B1940" s="4">
        <v>318</v>
      </c>
      <c r="C1940" s="2" t="s">
        <v>2307</v>
      </c>
      <c r="D1940" s="2" t="s">
        <v>2</v>
      </c>
      <c r="E1940" s="5" t="s">
        <v>408</v>
      </c>
      <c r="F1940" s="2">
        <v>148</v>
      </c>
    </row>
    <row r="1941" spans="1:6" x14ac:dyDescent="0.2">
      <c r="A1941" s="6" t="s">
        <v>208</v>
      </c>
      <c r="B1941" s="4">
        <v>204</v>
      </c>
      <c r="C1941" s="2" t="s">
        <v>2308</v>
      </c>
      <c r="D1941" s="2" t="s">
        <v>2</v>
      </c>
      <c r="E1941" s="5" t="s">
        <v>410</v>
      </c>
      <c r="F1941" s="2">
        <v>218</v>
      </c>
    </row>
    <row r="1942" spans="1:6" x14ac:dyDescent="0.2">
      <c r="A1942" s="6" t="s">
        <v>132</v>
      </c>
      <c r="B1942" s="4">
        <v>127</v>
      </c>
      <c r="C1942" s="2" t="s">
        <v>2310</v>
      </c>
      <c r="D1942" s="2" t="s">
        <v>3</v>
      </c>
      <c r="E1942" s="5" t="s">
        <v>412</v>
      </c>
      <c r="F1942" s="2">
        <v>286</v>
      </c>
    </row>
    <row r="1943" spans="1:6" x14ac:dyDescent="0.2">
      <c r="A1943" s="6" t="s">
        <v>322</v>
      </c>
      <c r="B1943" s="4">
        <v>318</v>
      </c>
      <c r="C1943" s="2" t="s">
        <v>2307</v>
      </c>
      <c r="D1943" s="2" t="s">
        <v>2</v>
      </c>
      <c r="E1943" s="5" t="s">
        <v>409</v>
      </c>
      <c r="F1943" s="2">
        <v>249</v>
      </c>
    </row>
    <row r="1944" spans="1:6" x14ac:dyDescent="0.2">
      <c r="A1944" s="6" t="s">
        <v>310</v>
      </c>
      <c r="B1944" s="4">
        <v>306</v>
      </c>
      <c r="C1944" s="2" t="s">
        <v>2307</v>
      </c>
      <c r="D1944" s="2" t="s">
        <v>2</v>
      </c>
      <c r="E1944" s="5" t="s">
        <v>410</v>
      </c>
      <c r="F1944" s="2">
        <v>192</v>
      </c>
    </row>
    <row r="1945" spans="1:6" x14ac:dyDescent="0.2">
      <c r="A1945" s="6" t="s">
        <v>206</v>
      </c>
      <c r="B1945" s="4">
        <v>202</v>
      </c>
      <c r="C1945" s="2" t="s">
        <v>2308</v>
      </c>
      <c r="D1945" s="2" t="s">
        <v>2</v>
      </c>
      <c r="E1945" s="5" t="s">
        <v>412</v>
      </c>
      <c r="F1945" s="2">
        <v>221</v>
      </c>
    </row>
    <row r="1946" spans="1:6" x14ac:dyDescent="0.2">
      <c r="A1946" s="6" t="s">
        <v>295</v>
      </c>
      <c r="B1946" s="4">
        <v>291</v>
      </c>
      <c r="C1946" s="2" t="s">
        <v>2308</v>
      </c>
      <c r="D1946" s="2" t="s">
        <v>5</v>
      </c>
      <c r="E1946" s="5" t="s">
        <v>411</v>
      </c>
      <c r="F1946" s="2">
        <v>292</v>
      </c>
    </row>
    <row r="1947" spans="1:6" x14ac:dyDescent="0.2">
      <c r="A1947" s="6" t="s">
        <v>146</v>
      </c>
      <c r="B1947" s="4">
        <v>141</v>
      </c>
      <c r="C1947" s="2" t="s">
        <v>2310</v>
      </c>
      <c r="D1947" s="2" t="s">
        <v>4</v>
      </c>
      <c r="E1947" s="6" t="s">
        <v>408</v>
      </c>
      <c r="F1947" s="2">
        <v>167</v>
      </c>
    </row>
    <row r="1948" spans="1:6" x14ac:dyDescent="0.2">
      <c r="A1948" s="6" t="s">
        <v>290</v>
      </c>
      <c r="B1948" s="4">
        <v>286</v>
      </c>
      <c r="C1948" s="2" t="s">
        <v>2308</v>
      </c>
      <c r="D1948" s="2" t="s">
        <v>5</v>
      </c>
      <c r="E1948" s="5" t="s">
        <v>410</v>
      </c>
      <c r="F1948" s="2">
        <v>259</v>
      </c>
    </row>
    <row r="1949" spans="1:6" x14ac:dyDescent="0.2">
      <c r="A1949" s="6" t="s">
        <v>231</v>
      </c>
      <c r="B1949" s="4">
        <v>227</v>
      </c>
      <c r="C1949" s="2" t="s">
        <v>2308</v>
      </c>
      <c r="D1949" s="2" t="s">
        <v>3</v>
      </c>
      <c r="E1949" s="7" t="s">
        <v>410</v>
      </c>
      <c r="F1949" s="2">
        <v>217</v>
      </c>
    </row>
    <row r="1950" spans="1:6" x14ac:dyDescent="0.2">
      <c r="A1950" s="6" t="s">
        <v>327</v>
      </c>
      <c r="B1950" s="4">
        <v>323</v>
      </c>
      <c r="C1950" s="2" t="s">
        <v>2307</v>
      </c>
      <c r="D1950" s="2" t="s">
        <v>2</v>
      </c>
      <c r="E1950" s="5" t="s">
        <v>412</v>
      </c>
      <c r="F1950" s="2">
        <v>290</v>
      </c>
    </row>
    <row r="1951" spans="1:6" x14ac:dyDescent="0.2">
      <c r="A1951" s="6" t="s">
        <v>147</v>
      </c>
      <c r="B1951" s="4">
        <v>142</v>
      </c>
      <c r="C1951" s="2" t="s">
        <v>2310</v>
      </c>
      <c r="D1951" s="2" t="s">
        <v>4</v>
      </c>
      <c r="E1951" s="7" t="s">
        <v>409</v>
      </c>
      <c r="F1951" s="2">
        <v>122</v>
      </c>
    </row>
    <row r="1952" spans="1:6" x14ac:dyDescent="0.2">
      <c r="A1952" s="6" t="s">
        <v>160</v>
      </c>
      <c r="B1952" s="4">
        <v>155</v>
      </c>
      <c r="C1952" s="2" t="s">
        <v>2310</v>
      </c>
      <c r="D1952" s="2" t="s">
        <v>4</v>
      </c>
      <c r="E1952" s="5" t="s">
        <v>410</v>
      </c>
      <c r="F1952" s="2">
        <v>135</v>
      </c>
    </row>
    <row r="1953" spans="1:6" x14ac:dyDescent="0.2">
      <c r="A1953" s="6" t="s">
        <v>406</v>
      </c>
      <c r="B1953" s="4">
        <v>402</v>
      </c>
      <c r="C1953" s="2" t="s">
        <v>2307</v>
      </c>
      <c r="D1953" s="2" t="s">
        <v>5</v>
      </c>
      <c r="E1953" s="5" t="s">
        <v>411</v>
      </c>
      <c r="F1953" s="2">
        <v>217</v>
      </c>
    </row>
    <row r="1954" spans="1:6" x14ac:dyDescent="0.2">
      <c r="A1954" s="6" t="s">
        <v>8</v>
      </c>
      <c r="B1954" s="4">
        <v>3</v>
      </c>
      <c r="C1954" s="2" t="s">
        <v>2309</v>
      </c>
      <c r="D1954" s="2" t="s">
        <v>2</v>
      </c>
      <c r="E1954" s="5" t="s">
        <v>412</v>
      </c>
      <c r="F1954" s="2">
        <v>225</v>
      </c>
    </row>
    <row r="1955" spans="1:6" x14ac:dyDescent="0.2">
      <c r="A1955" s="6" t="s">
        <v>401</v>
      </c>
      <c r="B1955" s="4">
        <v>397</v>
      </c>
      <c r="C1955" s="2" t="s">
        <v>2307</v>
      </c>
      <c r="D1955" s="2" t="s">
        <v>5</v>
      </c>
      <c r="E1955" s="5" t="s">
        <v>408</v>
      </c>
      <c r="F1955" s="2">
        <v>252</v>
      </c>
    </row>
    <row r="1956" spans="1:6" x14ac:dyDescent="0.2">
      <c r="A1956" s="6" t="s">
        <v>53</v>
      </c>
      <c r="B1956" s="4">
        <v>48</v>
      </c>
      <c r="C1956" s="2" t="s">
        <v>2309</v>
      </c>
      <c r="D1956" s="2" t="s">
        <v>3</v>
      </c>
      <c r="E1956" s="5" t="s">
        <v>409</v>
      </c>
      <c r="F1956" s="2">
        <v>249</v>
      </c>
    </row>
    <row r="1957" spans="1:6" x14ac:dyDescent="0.2">
      <c r="A1957" s="6" t="s">
        <v>179</v>
      </c>
      <c r="B1957" s="4">
        <v>174</v>
      </c>
      <c r="C1957" s="2" t="s">
        <v>2310</v>
      </c>
      <c r="D1957" s="2" t="s">
        <v>5</v>
      </c>
      <c r="E1957" s="7" t="s">
        <v>410</v>
      </c>
      <c r="F1957" s="2">
        <v>169</v>
      </c>
    </row>
    <row r="1958" spans="1:6" x14ac:dyDescent="0.2">
      <c r="A1958" s="6" t="s">
        <v>48</v>
      </c>
      <c r="B1958" s="4">
        <v>43</v>
      </c>
      <c r="C1958" s="2" t="s">
        <v>2309</v>
      </c>
      <c r="D1958" s="2" t="s">
        <v>3</v>
      </c>
      <c r="E1958" s="5" t="s">
        <v>412</v>
      </c>
      <c r="F1958" s="2">
        <v>246</v>
      </c>
    </row>
    <row r="1959" spans="1:6" x14ac:dyDescent="0.2">
      <c r="A1959" s="6" t="s">
        <v>201</v>
      </c>
      <c r="B1959" s="4">
        <v>197</v>
      </c>
      <c r="C1959" s="2" t="s">
        <v>2308</v>
      </c>
      <c r="D1959" s="2" t="s">
        <v>2</v>
      </c>
      <c r="E1959" s="5" t="s">
        <v>411</v>
      </c>
      <c r="F1959" s="2">
        <v>149</v>
      </c>
    </row>
    <row r="1960" spans="1:6" x14ac:dyDescent="0.2">
      <c r="A1960" s="6" t="s">
        <v>372</v>
      </c>
      <c r="B1960" s="4">
        <v>368</v>
      </c>
      <c r="C1960" s="2" t="s">
        <v>2307</v>
      </c>
      <c r="D1960" s="2" t="s">
        <v>4</v>
      </c>
      <c r="E1960" s="5" t="s">
        <v>409</v>
      </c>
      <c r="F1960" s="2">
        <v>267</v>
      </c>
    </row>
    <row r="1961" spans="1:6" x14ac:dyDescent="0.2">
      <c r="A1961" s="6" t="s">
        <v>151</v>
      </c>
      <c r="B1961" s="4">
        <v>146</v>
      </c>
      <c r="C1961" s="2" t="s">
        <v>2310</v>
      </c>
      <c r="D1961" s="2" t="s">
        <v>4</v>
      </c>
      <c r="E1961" s="6" t="s">
        <v>408</v>
      </c>
      <c r="F1961" s="2">
        <v>250</v>
      </c>
    </row>
    <row r="1962" spans="1:6" x14ac:dyDescent="0.2">
      <c r="A1962" s="6" t="s">
        <v>371</v>
      </c>
      <c r="B1962" s="4">
        <v>367</v>
      </c>
      <c r="C1962" s="2" t="s">
        <v>2307</v>
      </c>
      <c r="D1962" s="2" t="s">
        <v>4</v>
      </c>
      <c r="E1962" s="5" t="s">
        <v>411</v>
      </c>
      <c r="F1962" s="2">
        <v>247</v>
      </c>
    </row>
    <row r="1963" spans="1:6" x14ac:dyDescent="0.2">
      <c r="A1963" s="6" t="s">
        <v>178</v>
      </c>
      <c r="B1963" s="4">
        <v>173</v>
      </c>
      <c r="C1963" s="2" t="s">
        <v>2310</v>
      </c>
      <c r="D1963" s="2" t="s">
        <v>5</v>
      </c>
      <c r="E1963" s="7" t="s">
        <v>410</v>
      </c>
      <c r="F1963" s="2">
        <v>146</v>
      </c>
    </row>
    <row r="1964" spans="1:6" x14ac:dyDescent="0.2">
      <c r="A1964" s="6" t="s">
        <v>123</v>
      </c>
      <c r="B1964" s="4">
        <v>118</v>
      </c>
      <c r="C1964" s="2" t="s">
        <v>2310</v>
      </c>
      <c r="D1964" s="2" t="s">
        <v>2</v>
      </c>
      <c r="E1964" s="5" t="s">
        <v>409</v>
      </c>
      <c r="F1964" s="2">
        <v>192</v>
      </c>
    </row>
    <row r="1965" spans="1:6" x14ac:dyDescent="0.2">
      <c r="A1965" s="6" t="s">
        <v>193</v>
      </c>
      <c r="B1965" s="4">
        <v>189</v>
      </c>
      <c r="C1965" s="2" t="s">
        <v>2310</v>
      </c>
      <c r="D1965" s="2" t="s">
        <v>5</v>
      </c>
      <c r="E1965" s="5" t="s">
        <v>411</v>
      </c>
      <c r="F1965" s="2">
        <v>253</v>
      </c>
    </row>
    <row r="1966" spans="1:6" x14ac:dyDescent="0.2">
      <c r="A1966" s="6" t="s">
        <v>180</v>
      </c>
      <c r="B1966" s="4">
        <v>175</v>
      </c>
      <c r="C1966" s="2" t="s">
        <v>2310</v>
      </c>
      <c r="D1966" s="2" t="s">
        <v>5</v>
      </c>
      <c r="E1966" s="7" t="s">
        <v>410</v>
      </c>
      <c r="F1966" s="2">
        <v>293</v>
      </c>
    </row>
    <row r="1967" spans="1:6" x14ac:dyDescent="0.2">
      <c r="A1967" s="6" t="s">
        <v>277</v>
      </c>
      <c r="B1967" s="4">
        <v>273</v>
      </c>
      <c r="C1967" s="2" t="s">
        <v>2308</v>
      </c>
      <c r="D1967" s="2" t="s">
        <v>5</v>
      </c>
      <c r="E1967" s="5" t="s">
        <v>409</v>
      </c>
      <c r="F1967" s="2">
        <v>291</v>
      </c>
    </row>
    <row r="1968" spans="1:6" x14ac:dyDescent="0.2">
      <c r="A1968" s="6" t="s">
        <v>70</v>
      </c>
      <c r="B1968" s="4">
        <v>65</v>
      </c>
      <c r="C1968" s="2" t="s">
        <v>2309</v>
      </c>
      <c r="D1968" s="2" t="s">
        <v>4</v>
      </c>
      <c r="E1968" s="5" t="s">
        <v>409</v>
      </c>
      <c r="F1968" s="2">
        <v>248</v>
      </c>
    </row>
    <row r="1969" spans="1:6" x14ac:dyDescent="0.2">
      <c r="A1969" s="6" t="s">
        <v>171</v>
      </c>
      <c r="B1969" s="4">
        <v>166</v>
      </c>
      <c r="C1969" s="2" t="s">
        <v>2310</v>
      </c>
      <c r="D1969" s="2" t="s">
        <v>4</v>
      </c>
      <c r="E1969" s="6" t="s">
        <v>408</v>
      </c>
      <c r="F1969" s="2">
        <v>120</v>
      </c>
    </row>
    <row r="1970" spans="1:6" x14ac:dyDescent="0.2">
      <c r="A1970" s="6" t="s">
        <v>145</v>
      </c>
      <c r="B1970" s="4">
        <v>140</v>
      </c>
      <c r="C1970" s="2" t="s">
        <v>2310</v>
      </c>
      <c r="D1970" s="2" t="s">
        <v>3</v>
      </c>
      <c r="E1970" s="7" t="s">
        <v>410</v>
      </c>
      <c r="F1970" s="2">
        <v>233</v>
      </c>
    </row>
    <row r="1971" spans="1:6" x14ac:dyDescent="0.2">
      <c r="A1971" s="6" t="s">
        <v>71</v>
      </c>
      <c r="B1971" s="4">
        <v>66</v>
      </c>
      <c r="C1971" s="2" t="s">
        <v>2309</v>
      </c>
      <c r="D1971" s="2" t="s">
        <v>4</v>
      </c>
      <c r="E1971" s="5" t="s">
        <v>408</v>
      </c>
      <c r="F1971" s="2">
        <v>257</v>
      </c>
    </row>
    <row r="1972" spans="1:6" x14ac:dyDescent="0.2">
      <c r="A1972" s="6" t="s">
        <v>339</v>
      </c>
      <c r="B1972" s="4">
        <v>335</v>
      </c>
      <c r="C1972" s="2" t="s">
        <v>2307</v>
      </c>
      <c r="D1972" s="2" t="s">
        <v>3</v>
      </c>
      <c r="E1972" s="5" t="s">
        <v>412</v>
      </c>
      <c r="F1972" s="2">
        <v>154</v>
      </c>
    </row>
    <row r="1973" spans="1:6" x14ac:dyDescent="0.2">
      <c r="A1973" s="6" t="s">
        <v>118</v>
      </c>
      <c r="B1973" s="4">
        <v>113</v>
      </c>
      <c r="C1973" s="2" t="s">
        <v>2310</v>
      </c>
      <c r="D1973" s="2" t="s">
        <v>2</v>
      </c>
      <c r="E1973" s="5" t="s">
        <v>410</v>
      </c>
      <c r="F1973" s="2">
        <v>126</v>
      </c>
    </row>
    <row r="1974" spans="1:6" x14ac:dyDescent="0.2">
      <c r="A1974" s="6" t="s">
        <v>293</v>
      </c>
      <c r="B1974" s="4">
        <v>289</v>
      </c>
      <c r="C1974" s="2" t="s">
        <v>2308</v>
      </c>
      <c r="D1974" s="2" t="s">
        <v>5</v>
      </c>
      <c r="E1974" s="6" t="s">
        <v>408</v>
      </c>
      <c r="F1974" s="2">
        <v>278</v>
      </c>
    </row>
    <row r="1975" spans="1:6" x14ac:dyDescent="0.2">
      <c r="A1975" s="6" t="s">
        <v>180</v>
      </c>
      <c r="B1975" s="4">
        <v>175</v>
      </c>
      <c r="C1975" s="2" t="s">
        <v>2310</v>
      </c>
      <c r="D1975" s="2" t="s">
        <v>5</v>
      </c>
      <c r="E1975" s="5" t="s">
        <v>412</v>
      </c>
      <c r="F1975" s="2">
        <v>282</v>
      </c>
    </row>
    <row r="1976" spans="1:6" x14ac:dyDescent="0.2">
      <c r="A1976" s="6" t="s">
        <v>391</v>
      </c>
      <c r="B1976" s="4">
        <v>387</v>
      </c>
      <c r="C1976" s="2" t="s">
        <v>2307</v>
      </c>
      <c r="D1976" s="2" t="s">
        <v>5</v>
      </c>
      <c r="E1976" s="5" t="s">
        <v>412</v>
      </c>
      <c r="F1976" s="2">
        <v>300</v>
      </c>
    </row>
    <row r="1977" spans="1:6" x14ac:dyDescent="0.2">
      <c r="A1977" s="6" t="s">
        <v>112</v>
      </c>
      <c r="B1977" s="4">
        <v>107</v>
      </c>
      <c r="C1977" s="2" t="s">
        <v>2310</v>
      </c>
      <c r="D1977" s="2" t="s">
        <v>2</v>
      </c>
      <c r="E1977" s="5" t="s">
        <v>410</v>
      </c>
      <c r="F1977" s="2">
        <v>209</v>
      </c>
    </row>
    <row r="1978" spans="1:6" x14ac:dyDescent="0.2">
      <c r="A1978" s="6" t="s">
        <v>97</v>
      </c>
      <c r="B1978" s="4">
        <v>92</v>
      </c>
      <c r="C1978" s="2" t="s">
        <v>2309</v>
      </c>
      <c r="D1978" s="2" t="s">
        <v>5</v>
      </c>
      <c r="E1978" s="5" t="s">
        <v>409</v>
      </c>
      <c r="F1978" s="2">
        <v>146</v>
      </c>
    </row>
    <row r="1979" spans="1:6" x14ac:dyDescent="0.2">
      <c r="A1979" s="6" t="s">
        <v>66</v>
      </c>
      <c r="B1979" s="4">
        <v>61</v>
      </c>
      <c r="C1979" s="2" t="s">
        <v>2309</v>
      </c>
      <c r="D1979" s="2" t="s">
        <v>4</v>
      </c>
      <c r="E1979" s="5" t="s">
        <v>408</v>
      </c>
      <c r="F1979" s="2">
        <v>276</v>
      </c>
    </row>
    <row r="1980" spans="1:6" x14ac:dyDescent="0.2">
      <c r="A1980" s="6" t="s">
        <v>98</v>
      </c>
      <c r="B1980" s="4">
        <v>93</v>
      </c>
      <c r="C1980" s="2" t="s">
        <v>2309</v>
      </c>
      <c r="D1980" s="2" t="s">
        <v>5</v>
      </c>
      <c r="E1980" s="5" t="s">
        <v>411</v>
      </c>
      <c r="F1980" s="2">
        <v>164</v>
      </c>
    </row>
    <row r="1981" spans="1:6" x14ac:dyDescent="0.2">
      <c r="A1981" s="6" t="s">
        <v>68</v>
      </c>
      <c r="B1981" s="4">
        <v>63</v>
      </c>
      <c r="C1981" s="2" t="s">
        <v>2309</v>
      </c>
      <c r="D1981" s="2" t="s">
        <v>4</v>
      </c>
      <c r="E1981" s="5" t="s">
        <v>412</v>
      </c>
      <c r="F1981" s="2">
        <v>137</v>
      </c>
    </row>
    <row r="1982" spans="1:6" x14ac:dyDescent="0.2">
      <c r="A1982" s="6" t="s">
        <v>395</v>
      </c>
      <c r="B1982" s="4">
        <v>391</v>
      </c>
      <c r="C1982" s="2" t="s">
        <v>2307</v>
      </c>
      <c r="D1982" s="2" t="s">
        <v>5</v>
      </c>
      <c r="E1982" s="5" t="s">
        <v>412</v>
      </c>
      <c r="F1982" s="2">
        <v>158</v>
      </c>
    </row>
    <row r="1983" spans="1:6" x14ac:dyDescent="0.2">
      <c r="A1983" s="6" t="s">
        <v>232</v>
      </c>
      <c r="B1983" s="4">
        <v>228</v>
      </c>
      <c r="C1983" s="2" t="s">
        <v>2308</v>
      </c>
      <c r="D1983" s="2" t="s">
        <v>3</v>
      </c>
      <c r="E1983" s="5" t="s">
        <v>412</v>
      </c>
      <c r="F1983" s="2">
        <v>169</v>
      </c>
    </row>
    <row r="1984" spans="1:6" x14ac:dyDescent="0.2">
      <c r="A1984" s="6" t="s">
        <v>213</v>
      </c>
      <c r="B1984" s="4">
        <v>209</v>
      </c>
      <c r="C1984" s="2" t="s">
        <v>2308</v>
      </c>
      <c r="D1984" s="2" t="s">
        <v>2</v>
      </c>
      <c r="E1984" s="5" t="s">
        <v>410</v>
      </c>
      <c r="F1984" s="2">
        <v>203</v>
      </c>
    </row>
    <row r="1985" spans="1:6" x14ac:dyDescent="0.2">
      <c r="A1985" s="6" t="s">
        <v>19</v>
      </c>
      <c r="B1985" s="4">
        <v>14</v>
      </c>
      <c r="C1985" s="2" t="s">
        <v>2309</v>
      </c>
      <c r="D1985" s="2" t="s">
        <v>2</v>
      </c>
      <c r="E1985" s="5" t="s">
        <v>409</v>
      </c>
      <c r="F1985" s="2">
        <v>140</v>
      </c>
    </row>
    <row r="1986" spans="1:6" x14ac:dyDescent="0.2">
      <c r="A1986" s="6" t="s">
        <v>179</v>
      </c>
      <c r="B1986" s="4">
        <v>174</v>
      </c>
      <c r="C1986" s="2" t="s">
        <v>2310</v>
      </c>
      <c r="D1986" s="2" t="s">
        <v>5</v>
      </c>
      <c r="E1986" s="5" t="s">
        <v>412</v>
      </c>
      <c r="F1986" s="2">
        <v>201</v>
      </c>
    </row>
    <row r="1987" spans="1:6" x14ac:dyDescent="0.2">
      <c r="A1987" s="6" t="s">
        <v>261</v>
      </c>
      <c r="B1987" s="4">
        <v>257</v>
      </c>
      <c r="C1987" s="2" t="s">
        <v>2308</v>
      </c>
      <c r="D1987" s="2" t="s">
        <v>4</v>
      </c>
      <c r="E1987" s="7" t="s">
        <v>409</v>
      </c>
      <c r="F1987" s="2">
        <v>245</v>
      </c>
    </row>
    <row r="1988" spans="1:6" x14ac:dyDescent="0.2">
      <c r="A1988" s="6" t="s">
        <v>294</v>
      </c>
      <c r="B1988" s="4">
        <v>290</v>
      </c>
      <c r="C1988" s="2" t="s">
        <v>2308</v>
      </c>
      <c r="D1988" s="2" t="s">
        <v>5</v>
      </c>
      <c r="E1988" s="5" t="s">
        <v>410</v>
      </c>
      <c r="F1988" s="2">
        <v>120</v>
      </c>
    </row>
    <row r="1989" spans="1:6" x14ac:dyDescent="0.2">
      <c r="A1989" s="6" t="s">
        <v>320</v>
      </c>
      <c r="B1989" s="4">
        <v>316</v>
      </c>
      <c r="C1989" s="2" t="s">
        <v>2307</v>
      </c>
      <c r="D1989" s="2" t="s">
        <v>2</v>
      </c>
      <c r="E1989" s="5" t="s">
        <v>409</v>
      </c>
      <c r="F1989" s="2">
        <v>294</v>
      </c>
    </row>
    <row r="1990" spans="1:6" x14ac:dyDescent="0.2">
      <c r="A1990" s="6" t="s">
        <v>396</v>
      </c>
      <c r="B1990" s="4">
        <v>392</v>
      </c>
      <c r="C1990" s="2" t="s">
        <v>2307</v>
      </c>
      <c r="D1990" s="2" t="s">
        <v>5</v>
      </c>
      <c r="E1990" s="5" t="s">
        <v>409</v>
      </c>
      <c r="F1990" s="2">
        <v>288</v>
      </c>
    </row>
    <row r="1991" spans="1:6" x14ac:dyDescent="0.2">
      <c r="A1991" s="6" t="s">
        <v>53</v>
      </c>
      <c r="B1991" s="4">
        <v>48</v>
      </c>
      <c r="C1991" s="2" t="s">
        <v>2309</v>
      </c>
      <c r="D1991" s="2" t="s">
        <v>3</v>
      </c>
      <c r="E1991" s="5" t="s">
        <v>410</v>
      </c>
      <c r="F1991" s="2">
        <v>256</v>
      </c>
    </row>
    <row r="1992" spans="1:6" x14ac:dyDescent="0.2">
      <c r="A1992" s="6" t="s">
        <v>73</v>
      </c>
      <c r="B1992" s="4">
        <v>68</v>
      </c>
      <c r="C1992" s="2" t="s">
        <v>2309</v>
      </c>
      <c r="D1992" s="2" t="s">
        <v>4</v>
      </c>
      <c r="E1992" s="5" t="s">
        <v>410</v>
      </c>
      <c r="F1992" s="2">
        <v>202</v>
      </c>
    </row>
    <row r="1993" spans="1:6" x14ac:dyDescent="0.2">
      <c r="A1993" s="6" t="s">
        <v>258</v>
      </c>
      <c r="B1993" s="4">
        <v>254</v>
      </c>
      <c r="C1993" s="2" t="s">
        <v>2308</v>
      </c>
      <c r="D1993" s="2" t="s">
        <v>4</v>
      </c>
      <c r="E1993" s="5" t="s">
        <v>411</v>
      </c>
      <c r="F1993" s="2">
        <v>240</v>
      </c>
    </row>
    <row r="1994" spans="1:6" x14ac:dyDescent="0.2">
      <c r="A1994" s="6" t="s">
        <v>284</v>
      </c>
      <c r="B1994" s="4">
        <v>280</v>
      </c>
      <c r="C1994" s="2" t="s">
        <v>2308</v>
      </c>
      <c r="D1994" s="2" t="s">
        <v>5</v>
      </c>
      <c r="E1994" s="6" t="s">
        <v>408</v>
      </c>
      <c r="F1994" s="2">
        <v>133</v>
      </c>
    </row>
    <row r="1995" spans="1:6" x14ac:dyDescent="0.2">
      <c r="A1995" s="6" t="s">
        <v>245</v>
      </c>
      <c r="B1995" s="4">
        <v>241</v>
      </c>
      <c r="C1995" s="2" t="s">
        <v>2308</v>
      </c>
      <c r="D1995" s="2" t="s">
        <v>3</v>
      </c>
      <c r="E1995" s="5" t="s">
        <v>412</v>
      </c>
      <c r="F1995" s="2">
        <v>282</v>
      </c>
    </row>
    <row r="1996" spans="1:6" x14ac:dyDescent="0.2">
      <c r="A1996" s="6" t="s">
        <v>93</v>
      </c>
      <c r="B1996" s="4">
        <v>88</v>
      </c>
      <c r="C1996" s="2" t="s">
        <v>2309</v>
      </c>
      <c r="D1996" s="2" t="s">
        <v>5</v>
      </c>
      <c r="E1996" s="5" t="s">
        <v>412</v>
      </c>
      <c r="F1996" s="2">
        <v>214</v>
      </c>
    </row>
    <row r="1997" spans="1:6" x14ac:dyDescent="0.2">
      <c r="A1997" s="6" t="s">
        <v>381</v>
      </c>
      <c r="B1997" s="4">
        <v>377</v>
      </c>
      <c r="C1997" s="2" t="s">
        <v>2307</v>
      </c>
      <c r="D1997" s="2" t="s">
        <v>5</v>
      </c>
      <c r="E1997" s="5" t="s">
        <v>410</v>
      </c>
      <c r="F1997" s="2">
        <v>211</v>
      </c>
    </row>
    <row r="1998" spans="1:6" x14ac:dyDescent="0.2">
      <c r="A1998" s="6" t="s">
        <v>176</v>
      </c>
      <c r="B1998" s="4">
        <v>171</v>
      </c>
      <c r="C1998" s="2" t="s">
        <v>2310</v>
      </c>
      <c r="D1998" s="2" t="s">
        <v>5</v>
      </c>
      <c r="E1998" s="7" t="s">
        <v>409</v>
      </c>
      <c r="F1998" s="2">
        <v>220</v>
      </c>
    </row>
    <row r="1999" spans="1:6" x14ac:dyDescent="0.2">
      <c r="A1999" s="6" t="s">
        <v>342</v>
      </c>
      <c r="B1999" s="4">
        <v>338</v>
      </c>
      <c r="C1999" s="2" t="s">
        <v>2307</v>
      </c>
      <c r="D1999" s="2" t="s">
        <v>3</v>
      </c>
      <c r="E1999" s="5" t="s">
        <v>408</v>
      </c>
      <c r="F1999" s="2">
        <v>282</v>
      </c>
    </row>
    <row r="2000" spans="1:6" x14ac:dyDescent="0.2">
      <c r="A2000" s="6" t="s">
        <v>97</v>
      </c>
      <c r="B2000" s="4">
        <v>92</v>
      </c>
      <c r="C2000" s="2" t="s">
        <v>2309</v>
      </c>
      <c r="D2000" s="2" t="s">
        <v>5</v>
      </c>
      <c r="E2000" s="5" t="s">
        <v>408</v>
      </c>
      <c r="F2000" s="2">
        <v>245</v>
      </c>
    </row>
    <row r="2001" spans="1:6" x14ac:dyDescent="0.2">
      <c r="A2001" s="6" t="s">
        <v>253</v>
      </c>
      <c r="B2001" s="4">
        <v>249</v>
      </c>
      <c r="C2001" s="2" t="s">
        <v>2308</v>
      </c>
      <c r="D2001" s="2" t="s">
        <v>4</v>
      </c>
      <c r="E2001" s="5" t="s">
        <v>410</v>
      </c>
      <c r="F2001" s="2">
        <v>227</v>
      </c>
    </row>
    <row r="2002" spans="1:6" x14ac:dyDescent="0.2">
      <c r="A2002" s="6" t="s">
        <v>339</v>
      </c>
      <c r="B2002" s="4">
        <v>335</v>
      </c>
      <c r="C2002" s="2" t="s">
        <v>2307</v>
      </c>
      <c r="D2002" s="2" t="s">
        <v>3</v>
      </c>
      <c r="E2002" s="5" t="s">
        <v>408</v>
      </c>
      <c r="F2002" s="2">
        <v>191</v>
      </c>
    </row>
    <row r="2003" spans="1:6" x14ac:dyDescent="0.2">
      <c r="A2003" s="6" t="s">
        <v>344</v>
      </c>
      <c r="B2003" s="4">
        <v>340</v>
      </c>
      <c r="C2003" s="2" t="s">
        <v>2307</v>
      </c>
      <c r="D2003" s="2" t="s">
        <v>3</v>
      </c>
      <c r="E2003" s="5" t="s">
        <v>408</v>
      </c>
      <c r="F2003" s="2">
        <v>264</v>
      </c>
    </row>
    <row r="2004" spans="1:6" x14ac:dyDescent="0.2">
      <c r="A2004" s="6" t="s">
        <v>16</v>
      </c>
      <c r="B2004" s="4">
        <v>11</v>
      </c>
      <c r="C2004" s="2" t="s">
        <v>2309</v>
      </c>
      <c r="D2004" s="2" t="s">
        <v>2</v>
      </c>
      <c r="E2004" s="5" t="s">
        <v>410</v>
      </c>
      <c r="F2004" s="2">
        <v>289</v>
      </c>
    </row>
    <row r="2005" spans="1:6" x14ac:dyDescent="0.2">
      <c r="A2005" s="6" t="s">
        <v>372</v>
      </c>
      <c r="B2005" s="4">
        <v>368</v>
      </c>
      <c r="C2005" s="2" t="s">
        <v>2307</v>
      </c>
      <c r="D2005" s="2" t="s">
        <v>4</v>
      </c>
      <c r="E2005" s="5" t="s">
        <v>408</v>
      </c>
      <c r="F2005" s="2">
        <v>213</v>
      </c>
    </row>
    <row r="2006" spans="1:6" x14ac:dyDescent="0.2">
      <c r="A2006" s="6" t="s">
        <v>13</v>
      </c>
      <c r="B2006" s="4">
        <v>8</v>
      </c>
      <c r="C2006" s="2" t="s">
        <v>2309</v>
      </c>
      <c r="D2006" s="2" t="s">
        <v>2</v>
      </c>
      <c r="E2006" s="5" t="s">
        <v>408</v>
      </c>
      <c r="F2006" s="2">
        <v>265</v>
      </c>
    </row>
    <row r="2007" spans="1:6" x14ac:dyDescent="0.2">
      <c r="A2007" s="6" t="s">
        <v>390</v>
      </c>
      <c r="B2007" s="4">
        <v>386</v>
      </c>
      <c r="C2007" s="2" t="s">
        <v>2307</v>
      </c>
      <c r="D2007" s="2" t="s">
        <v>5</v>
      </c>
      <c r="E2007" s="5" t="s">
        <v>411</v>
      </c>
      <c r="F2007" s="2">
        <v>222</v>
      </c>
    </row>
    <row r="2008" spans="1:6" x14ac:dyDescent="0.2">
      <c r="A2008" s="6" t="s">
        <v>340</v>
      </c>
      <c r="B2008" s="4">
        <v>336</v>
      </c>
      <c r="C2008" s="2" t="s">
        <v>2307</v>
      </c>
      <c r="D2008" s="2" t="s">
        <v>3</v>
      </c>
      <c r="E2008" s="5" t="s">
        <v>408</v>
      </c>
      <c r="F2008" s="2">
        <v>235</v>
      </c>
    </row>
    <row r="2009" spans="1:6" x14ac:dyDescent="0.2">
      <c r="A2009" s="6" t="s">
        <v>273</v>
      </c>
      <c r="B2009" s="4">
        <v>269</v>
      </c>
      <c r="C2009" s="2" t="s">
        <v>2308</v>
      </c>
      <c r="D2009" s="2" t="s">
        <v>4</v>
      </c>
      <c r="E2009" s="6" t="s">
        <v>408</v>
      </c>
      <c r="F2009" s="2">
        <v>186</v>
      </c>
    </row>
    <row r="2010" spans="1:6" x14ac:dyDescent="0.2">
      <c r="A2010" s="6" t="s">
        <v>341</v>
      </c>
      <c r="B2010" s="4">
        <v>337</v>
      </c>
      <c r="C2010" s="2" t="s">
        <v>2307</v>
      </c>
      <c r="D2010" s="2" t="s">
        <v>3</v>
      </c>
      <c r="E2010" s="5" t="s">
        <v>409</v>
      </c>
      <c r="F2010" s="2">
        <v>242</v>
      </c>
    </row>
    <row r="2011" spans="1:6" x14ac:dyDescent="0.2">
      <c r="A2011" s="6" t="s">
        <v>281</v>
      </c>
      <c r="B2011" s="4">
        <v>277</v>
      </c>
      <c r="C2011" s="2" t="s">
        <v>2308</v>
      </c>
      <c r="D2011" s="2" t="s">
        <v>5</v>
      </c>
      <c r="E2011" s="6" t="s">
        <v>408</v>
      </c>
      <c r="F2011" s="2">
        <v>218</v>
      </c>
    </row>
    <row r="2012" spans="1:6" x14ac:dyDescent="0.2">
      <c r="A2012" s="6" t="s">
        <v>54</v>
      </c>
      <c r="B2012" s="4">
        <v>49</v>
      </c>
      <c r="C2012" s="2" t="s">
        <v>2309</v>
      </c>
      <c r="D2012" s="2" t="s">
        <v>3</v>
      </c>
      <c r="E2012" s="5" t="s">
        <v>409</v>
      </c>
      <c r="F2012" s="2">
        <v>178</v>
      </c>
    </row>
    <row r="2013" spans="1:6" x14ac:dyDescent="0.2">
      <c r="A2013" s="6" t="s">
        <v>142</v>
      </c>
      <c r="B2013" s="4">
        <v>137</v>
      </c>
      <c r="C2013" s="2" t="s">
        <v>2310</v>
      </c>
      <c r="D2013" s="2" t="s">
        <v>3</v>
      </c>
      <c r="E2013" s="7" t="s">
        <v>410</v>
      </c>
      <c r="F2013" s="2">
        <v>152</v>
      </c>
    </row>
    <row r="2014" spans="1:6" x14ac:dyDescent="0.2">
      <c r="A2014" s="6" t="s">
        <v>380</v>
      </c>
      <c r="B2014" s="4">
        <v>376</v>
      </c>
      <c r="C2014" s="2" t="s">
        <v>2307</v>
      </c>
      <c r="D2014" s="2" t="s">
        <v>5</v>
      </c>
      <c r="E2014" s="5" t="s">
        <v>409</v>
      </c>
      <c r="F2014" s="2">
        <v>260</v>
      </c>
    </row>
    <row r="2015" spans="1:6" x14ac:dyDescent="0.2">
      <c r="A2015" s="6" t="s">
        <v>186</v>
      </c>
      <c r="B2015" s="4">
        <v>181</v>
      </c>
      <c r="C2015" s="2" t="s">
        <v>2310</v>
      </c>
      <c r="D2015" s="2" t="s">
        <v>5</v>
      </c>
      <c r="E2015" s="5" t="s">
        <v>412</v>
      </c>
      <c r="F2015" s="2">
        <v>180</v>
      </c>
    </row>
    <row r="2016" spans="1:6" x14ac:dyDescent="0.2">
      <c r="A2016" s="6" t="s">
        <v>184</v>
      </c>
      <c r="B2016" s="4">
        <v>179</v>
      </c>
      <c r="C2016" s="2" t="s">
        <v>2310</v>
      </c>
      <c r="D2016" s="2" t="s">
        <v>5</v>
      </c>
      <c r="E2016" s="5" t="s">
        <v>412</v>
      </c>
      <c r="F2016" s="2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1"/>
  <sheetViews>
    <sheetView workbookViewId="0">
      <selection activeCell="D15" sqref="D15"/>
    </sheetView>
  </sheetViews>
  <sheetFormatPr defaultRowHeight="12" x14ac:dyDescent="0.2"/>
  <cols>
    <col min="1" max="7" width="11.83203125" customWidth="1"/>
  </cols>
  <sheetData>
    <row r="1" spans="1:12" x14ac:dyDescent="0.2">
      <c r="A1" s="21" t="s">
        <v>2305</v>
      </c>
      <c r="B1" s="21" t="s">
        <v>2311</v>
      </c>
      <c r="C1" s="21" t="s">
        <v>2312</v>
      </c>
      <c r="D1" s="21" t="s">
        <v>2313</v>
      </c>
      <c r="E1" s="21" t="s">
        <v>2314</v>
      </c>
      <c r="F1" s="21" t="s">
        <v>2315</v>
      </c>
      <c r="G1" s="21" t="s">
        <v>2316</v>
      </c>
    </row>
    <row r="2" spans="1:12" x14ac:dyDescent="0.2">
      <c r="A2" t="s">
        <v>3248</v>
      </c>
      <c r="B2" t="s">
        <v>2759</v>
      </c>
      <c r="C2" t="s">
        <v>2607</v>
      </c>
      <c r="D2" t="b">
        <v>0</v>
      </c>
      <c r="F2" s="14"/>
      <c r="G2" s="15"/>
    </row>
    <row r="3" spans="1:12" x14ac:dyDescent="0.2">
      <c r="A3" s="12" t="s">
        <v>3187</v>
      </c>
      <c r="B3" t="s">
        <v>2621</v>
      </c>
      <c r="C3" t="s">
        <v>2622</v>
      </c>
      <c r="D3" t="b">
        <v>0</v>
      </c>
      <c r="F3" s="14">
        <v>3800000</v>
      </c>
      <c r="G3" s="15">
        <f ca="1">TODAY()+164</f>
        <v>44385</v>
      </c>
    </row>
    <row r="4" spans="1:12" x14ac:dyDescent="0.2">
      <c r="A4" s="12" t="s">
        <v>3148</v>
      </c>
      <c r="B4" t="s">
        <v>2502</v>
      </c>
      <c r="C4" t="s">
        <v>2503</v>
      </c>
      <c r="D4" t="b">
        <v>0</v>
      </c>
      <c r="F4" s="14"/>
      <c r="G4" s="15"/>
      <c r="J4" s="17" t="s">
        <v>3567</v>
      </c>
    </row>
    <row r="5" spans="1:12" x14ac:dyDescent="0.2">
      <c r="A5" s="12" t="s">
        <v>3325</v>
      </c>
      <c r="B5" t="s">
        <v>2914</v>
      </c>
      <c r="C5" t="s">
        <v>2470</v>
      </c>
      <c r="D5" t="b">
        <v>0</v>
      </c>
      <c r="F5" s="14">
        <v>4000000</v>
      </c>
      <c r="G5" s="15">
        <f ca="1">TODAY()+332</f>
        <v>44553</v>
      </c>
      <c r="J5" s="17" t="s">
        <v>3568</v>
      </c>
    </row>
    <row r="6" spans="1:12" x14ac:dyDescent="0.2">
      <c r="A6" s="12" t="s">
        <v>2836</v>
      </c>
      <c r="B6" t="s">
        <v>2462</v>
      </c>
      <c r="C6" t="s">
        <v>2837</v>
      </c>
      <c r="D6" t="b">
        <v>0</v>
      </c>
      <c r="F6" s="14"/>
      <c r="G6" s="15"/>
      <c r="J6" s="17" t="s">
        <v>3569</v>
      </c>
    </row>
    <row r="7" spans="1:12" x14ac:dyDescent="0.2">
      <c r="A7" s="12" t="s">
        <v>2637</v>
      </c>
      <c r="B7" t="s">
        <v>2389</v>
      </c>
      <c r="C7" t="s">
        <v>2581</v>
      </c>
      <c r="D7" t="b">
        <v>0</v>
      </c>
      <c r="F7" s="14"/>
      <c r="G7" s="15"/>
      <c r="J7" s="17" t="s">
        <v>3570</v>
      </c>
    </row>
    <row r="8" spans="1:12" x14ac:dyDescent="0.2">
      <c r="A8" s="12" t="s">
        <v>3116</v>
      </c>
      <c r="B8" t="s">
        <v>2355</v>
      </c>
      <c r="C8" t="s">
        <v>2320</v>
      </c>
      <c r="D8" t="b">
        <v>0</v>
      </c>
      <c r="E8" t="s">
        <v>2356</v>
      </c>
      <c r="F8" s="14"/>
      <c r="G8" s="15"/>
    </row>
    <row r="9" spans="1:12" x14ac:dyDescent="0.2">
      <c r="A9" s="12" t="s">
        <v>2746</v>
      </c>
      <c r="B9" t="s">
        <v>2747</v>
      </c>
      <c r="C9" t="s">
        <v>2530</v>
      </c>
      <c r="D9" t="b">
        <v>1</v>
      </c>
      <c r="F9" s="14">
        <v>2500000</v>
      </c>
      <c r="G9" s="15">
        <f ca="1">TODAY()+283</f>
        <v>44504</v>
      </c>
      <c r="J9" s="17" t="s">
        <v>3571</v>
      </c>
    </row>
    <row r="10" spans="1:12" x14ac:dyDescent="0.2">
      <c r="A10" s="12" t="s">
        <v>3082</v>
      </c>
      <c r="B10" t="s">
        <v>2917</v>
      </c>
      <c r="C10" t="s">
        <v>2591</v>
      </c>
      <c r="D10" t="b">
        <v>1</v>
      </c>
      <c r="E10" t="s">
        <v>2356</v>
      </c>
      <c r="F10" s="14">
        <v>1300000</v>
      </c>
      <c r="G10" s="15">
        <f ca="1">TODAY()+318</f>
        <v>44539</v>
      </c>
      <c r="J10" s="17" t="s">
        <v>3572</v>
      </c>
    </row>
    <row r="11" spans="1:12" x14ac:dyDescent="0.2">
      <c r="A11" s="12" t="s">
        <v>3217</v>
      </c>
      <c r="B11" t="s">
        <v>2681</v>
      </c>
      <c r="C11" t="s">
        <v>2682</v>
      </c>
      <c r="D11" t="b">
        <v>0</v>
      </c>
      <c r="F11" s="14">
        <v>4800000</v>
      </c>
      <c r="G11" s="15">
        <f ca="1">TODAY()+178</f>
        <v>44399</v>
      </c>
      <c r="J11" s="17" t="s">
        <v>3573</v>
      </c>
    </row>
    <row r="12" spans="1:12" x14ac:dyDescent="0.2">
      <c r="A12" s="12" t="s">
        <v>3048</v>
      </c>
      <c r="B12" t="s">
        <v>2657</v>
      </c>
      <c r="C12" t="s">
        <v>2715</v>
      </c>
      <c r="D12" t="b">
        <v>0</v>
      </c>
      <c r="F12" s="14"/>
      <c r="G12" s="15"/>
    </row>
    <row r="13" spans="1:12" x14ac:dyDescent="0.2">
      <c r="A13" s="12" t="s">
        <v>3195</v>
      </c>
      <c r="B13" t="s">
        <v>2632</v>
      </c>
      <c r="C13" t="s">
        <v>2633</v>
      </c>
      <c r="D13" t="b">
        <v>0</v>
      </c>
      <c r="F13" s="14"/>
      <c r="G13" s="15"/>
      <c r="I13" s="11"/>
      <c r="J13" s="11"/>
      <c r="K13" s="11"/>
      <c r="L13" s="11"/>
    </row>
    <row r="14" spans="1:12" x14ac:dyDescent="0.2">
      <c r="A14" s="12" t="s">
        <v>3328</v>
      </c>
      <c r="B14" t="s">
        <v>2941</v>
      </c>
      <c r="C14" t="s">
        <v>2432</v>
      </c>
      <c r="D14" t="b">
        <v>0</v>
      </c>
      <c r="F14" s="14"/>
      <c r="G14" s="15"/>
      <c r="I14" s="11"/>
      <c r="J14" s="1"/>
      <c r="K14" s="1"/>
      <c r="L14" s="11"/>
    </row>
    <row r="15" spans="1:12" x14ac:dyDescent="0.2">
      <c r="A15" s="12" t="s">
        <v>2367</v>
      </c>
      <c r="B15" t="s">
        <v>2368</v>
      </c>
      <c r="C15" t="s">
        <v>2369</v>
      </c>
      <c r="D15" t="b">
        <v>0</v>
      </c>
      <c r="F15" s="14"/>
      <c r="G15" s="15"/>
      <c r="I15" s="11"/>
      <c r="J15" s="11"/>
      <c r="K15" s="11"/>
      <c r="L15" s="11"/>
    </row>
    <row r="16" spans="1:12" x14ac:dyDescent="0.2">
      <c r="A16" s="12" t="s">
        <v>2421</v>
      </c>
      <c r="B16" t="s">
        <v>2344</v>
      </c>
      <c r="C16" t="s">
        <v>2359</v>
      </c>
      <c r="D16" t="b">
        <v>1</v>
      </c>
      <c r="F16" s="14"/>
      <c r="G16" s="15"/>
      <c r="I16" s="11"/>
      <c r="J16" s="11"/>
      <c r="K16" s="11"/>
      <c r="L16" s="11"/>
    </row>
    <row r="17" spans="1:12" x14ac:dyDescent="0.2">
      <c r="A17" s="12" t="s">
        <v>3062</v>
      </c>
      <c r="B17" t="s">
        <v>2776</v>
      </c>
      <c r="C17" t="s">
        <v>2777</v>
      </c>
      <c r="D17" t="b">
        <v>1</v>
      </c>
      <c r="F17" s="14">
        <v>300000</v>
      </c>
      <c r="G17" s="15">
        <f ca="1">TODAY()+269</f>
        <v>44490</v>
      </c>
      <c r="I17" s="11"/>
      <c r="J17" s="1"/>
      <c r="K17" s="11"/>
      <c r="L17" s="11"/>
    </row>
    <row r="18" spans="1:12" x14ac:dyDescent="0.2">
      <c r="A18" s="12" t="s">
        <v>3194</v>
      </c>
      <c r="B18" t="s">
        <v>2630</v>
      </c>
      <c r="C18" t="s">
        <v>2631</v>
      </c>
      <c r="D18" t="b">
        <v>0</v>
      </c>
      <c r="F18" s="14"/>
      <c r="G18" s="15"/>
      <c r="I18" s="11"/>
      <c r="J18" s="11"/>
      <c r="K18" s="11"/>
      <c r="L18" s="11"/>
    </row>
    <row r="19" spans="1:12" x14ac:dyDescent="0.2">
      <c r="A19" s="12" t="s">
        <v>3051</v>
      </c>
      <c r="B19" t="s">
        <v>2724</v>
      </c>
      <c r="C19" t="s">
        <v>2725</v>
      </c>
      <c r="D19" t="b">
        <v>0</v>
      </c>
      <c r="F19" s="14">
        <v>2400000</v>
      </c>
      <c r="G19" s="15">
        <f ca="1">TODAY()+111</f>
        <v>44332</v>
      </c>
    </row>
    <row r="20" spans="1:12" x14ac:dyDescent="0.2">
      <c r="A20" s="12" t="s">
        <v>3371</v>
      </c>
      <c r="B20" t="s">
        <v>2925</v>
      </c>
      <c r="C20" t="s">
        <v>3012</v>
      </c>
      <c r="D20" t="b">
        <v>0</v>
      </c>
      <c r="F20" s="14">
        <v>3700000</v>
      </c>
      <c r="G20" s="15">
        <f ca="1">TODAY()+225</f>
        <v>44446</v>
      </c>
    </row>
    <row r="21" spans="1:12" x14ac:dyDescent="0.2">
      <c r="A21" s="12" t="s">
        <v>3040</v>
      </c>
      <c r="B21" t="s">
        <v>2611</v>
      </c>
      <c r="C21" t="s">
        <v>2612</v>
      </c>
      <c r="D21" t="b">
        <v>1</v>
      </c>
      <c r="F21" s="14">
        <v>1800000</v>
      </c>
      <c r="G21" s="15">
        <f ca="1">TODAY()+194</f>
        <v>44415</v>
      </c>
      <c r="J21" s="11"/>
    </row>
    <row r="22" spans="1:12" x14ac:dyDescent="0.2">
      <c r="A22" s="12" t="s">
        <v>3322</v>
      </c>
      <c r="B22" t="s">
        <v>2622</v>
      </c>
      <c r="C22" t="s">
        <v>2935</v>
      </c>
      <c r="D22" t="b">
        <v>0</v>
      </c>
      <c r="F22" s="14">
        <v>3300000</v>
      </c>
      <c r="G22" s="15">
        <f ca="1">TODAY()+134</f>
        <v>44355</v>
      </c>
    </row>
    <row r="23" spans="1:12" x14ac:dyDescent="0.2">
      <c r="A23" s="12" t="s">
        <v>3125</v>
      </c>
      <c r="B23" t="s">
        <v>2844</v>
      </c>
      <c r="C23" t="s">
        <v>2845</v>
      </c>
      <c r="D23" t="b">
        <v>0</v>
      </c>
      <c r="F23" s="14">
        <v>2000000</v>
      </c>
      <c r="G23" s="15">
        <f ca="1">TODAY()+194</f>
        <v>44415</v>
      </c>
    </row>
    <row r="24" spans="1:12" x14ac:dyDescent="0.2">
      <c r="A24" s="12" t="s">
        <v>3260</v>
      </c>
      <c r="B24" t="s">
        <v>2785</v>
      </c>
      <c r="C24" t="s">
        <v>2366</v>
      </c>
      <c r="D24" t="b">
        <v>1</v>
      </c>
      <c r="F24" s="14">
        <v>1800000</v>
      </c>
      <c r="G24" s="15">
        <f ca="1">TODAY()+115</f>
        <v>44336</v>
      </c>
    </row>
    <row r="25" spans="1:12" x14ac:dyDescent="0.2">
      <c r="A25" s="12" t="s">
        <v>3129</v>
      </c>
      <c r="B25" t="s">
        <v>2405</v>
      </c>
      <c r="C25" t="s">
        <v>2326</v>
      </c>
      <c r="D25" t="b">
        <v>1</v>
      </c>
      <c r="F25" s="14"/>
      <c r="G25" s="15"/>
    </row>
    <row r="26" spans="1:12" x14ac:dyDescent="0.2">
      <c r="A26" s="12" t="s">
        <v>3330</v>
      </c>
      <c r="B26" t="s">
        <v>2944</v>
      </c>
      <c r="C26" t="s">
        <v>2919</v>
      </c>
      <c r="D26" t="b">
        <v>0</v>
      </c>
      <c r="F26" s="14">
        <v>2500000</v>
      </c>
      <c r="G26" s="15">
        <f ca="1">TODAY()+208</f>
        <v>44429</v>
      </c>
    </row>
    <row r="27" spans="1:12" x14ac:dyDescent="0.2">
      <c r="A27" s="12" t="s">
        <v>3286</v>
      </c>
      <c r="B27" t="s">
        <v>2863</v>
      </c>
      <c r="C27" t="s">
        <v>2864</v>
      </c>
      <c r="D27" t="b">
        <v>0</v>
      </c>
      <c r="F27" s="14"/>
      <c r="G27" s="15"/>
    </row>
    <row r="28" spans="1:12" x14ac:dyDescent="0.2">
      <c r="A28" s="12" t="s">
        <v>3111</v>
      </c>
      <c r="B28" t="s">
        <v>2342</v>
      </c>
      <c r="C28" t="s">
        <v>2343</v>
      </c>
      <c r="D28" t="b">
        <v>1</v>
      </c>
      <c r="F28" s="14"/>
      <c r="G28" s="15"/>
    </row>
    <row r="29" spans="1:12" x14ac:dyDescent="0.2">
      <c r="A29" s="12" t="s">
        <v>2664</v>
      </c>
      <c r="B29" t="s">
        <v>2665</v>
      </c>
      <c r="C29" t="s">
        <v>2666</v>
      </c>
      <c r="D29" t="b">
        <v>0</v>
      </c>
      <c r="F29" s="14"/>
      <c r="G29" s="15"/>
    </row>
    <row r="30" spans="1:12" x14ac:dyDescent="0.2">
      <c r="A30" s="12" t="s">
        <v>3291</v>
      </c>
      <c r="B30" t="s">
        <v>2522</v>
      </c>
      <c r="C30" t="s">
        <v>2605</v>
      </c>
      <c r="D30" t="b">
        <v>0</v>
      </c>
      <c r="F30" s="14">
        <v>3900000</v>
      </c>
      <c r="G30" s="15">
        <f ca="1">TODAY()+337</f>
        <v>44558</v>
      </c>
    </row>
    <row r="31" spans="1:12" x14ac:dyDescent="0.2">
      <c r="A31" s="12" t="s">
        <v>3160</v>
      </c>
      <c r="B31" t="s">
        <v>2548</v>
      </c>
      <c r="C31" t="s">
        <v>2549</v>
      </c>
      <c r="D31" t="b">
        <v>0</v>
      </c>
      <c r="F31" s="14"/>
      <c r="G31" s="15"/>
    </row>
    <row r="32" spans="1:12" x14ac:dyDescent="0.2">
      <c r="A32" s="12" t="s">
        <v>3337</v>
      </c>
      <c r="B32" t="s">
        <v>2389</v>
      </c>
      <c r="C32" t="s">
        <v>2471</v>
      </c>
      <c r="D32" t="b">
        <v>0</v>
      </c>
      <c r="F32" s="14"/>
      <c r="G32" s="15"/>
    </row>
    <row r="33" spans="1:7" x14ac:dyDescent="0.2">
      <c r="A33" s="12" t="s">
        <v>3058</v>
      </c>
      <c r="B33" t="s">
        <v>2678</v>
      </c>
      <c r="C33" t="s">
        <v>2760</v>
      </c>
      <c r="D33" t="b">
        <v>0</v>
      </c>
      <c r="F33" s="14"/>
      <c r="G33" s="15"/>
    </row>
    <row r="34" spans="1:7" x14ac:dyDescent="0.2">
      <c r="A34" s="12" t="s">
        <v>3090</v>
      </c>
      <c r="B34" t="s">
        <v>2319</v>
      </c>
      <c r="C34" t="s">
        <v>2948</v>
      </c>
      <c r="D34" t="b">
        <v>0</v>
      </c>
      <c r="F34" s="14"/>
      <c r="G34" s="15"/>
    </row>
    <row r="35" spans="1:7" x14ac:dyDescent="0.2">
      <c r="A35" s="12" t="s">
        <v>3251</v>
      </c>
      <c r="B35" t="s">
        <v>2621</v>
      </c>
      <c r="C35" t="s">
        <v>2668</v>
      </c>
      <c r="D35" t="b">
        <v>0</v>
      </c>
      <c r="F35" s="14"/>
      <c r="G35" s="15"/>
    </row>
    <row r="36" spans="1:7" x14ac:dyDescent="0.2">
      <c r="A36" s="12" t="s">
        <v>3214</v>
      </c>
      <c r="B36" t="s">
        <v>2677</v>
      </c>
      <c r="C36" t="s">
        <v>2295</v>
      </c>
      <c r="D36" t="b">
        <v>0</v>
      </c>
      <c r="F36" s="14"/>
      <c r="G36" s="15"/>
    </row>
    <row r="37" spans="1:7" x14ac:dyDescent="0.2">
      <c r="A37" s="12" t="s">
        <v>3355</v>
      </c>
      <c r="B37" t="s">
        <v>2987</v>
      </c>
      <c r="C37" t="s">
        <v>2948</v>
      </c>
      <c r="D37" t="b">
        <v>0</v>
      </c>
      <c r="F37" s="14"/>
      <c r="G37" s="15"/>
    </row>
    <row r="38" spans="1:7" x14ac:dyDescent="0.2">
      <c r="A38" s="12" t="s">
        <v>2498</v>
      </c>
      <c r="B38" t="s">
        <v>2499</v>
      </c>
      <c r="C38" t="s">
        <v>2429</v>
      </c>
      <c r="D38" t="b">
        <v>0</v>
      </c>
      <c r="F38" s="14"/>
      <c r="G38" s="15"/>
    </row>
    <row r="39" spans="1:7" x14ac:dyDescent="0.2">
      <c r="A39" s="12" t="s">
        <v>2521</v>
      </c>
      <c r="B39" t="s">
        <v>2419</v>
      </c>
      <c r="C39" t="s">
        <v>2431</v>
      </c>
      <c r="D39" t="b">
        <v>0</v>
      </c>
      <c r="F39" s="14"/>
      <c r="G39" s="15"/>
    </row>
    <row r="40" spans="1:7" x14ac:dyDescent="0.2">
      <c r="A40" s="12" t="s">
        <v>3191</v>
      </c>
      <c r="B40" t="s">
        <v>2626</v>
      </c>
      <c r="C40" t="s">
        <v>2595</v>
      </c>
      <c r="D40" t="b">
        <v>0</v>
      </c>
      <c r="F40" s="14">
        <v>500000</v>
      </c>
      <c r="G40" s="15">
        <f ca="1">TODAY()+87</f>
        <v>44308</v>
      </c>
    </row>
    <row r="41" spans="1:7" x14ac:dyDescent="0.2">
      <c r="A41" s="12" t="s">
        <v>3031</v>
      </c>
      <c r="B41" t="s">
        <v>2504</v>
      </c>
      <c r="C41" t="s">
        <v>2505</v>
      </c>
      <c r="D41" t="b">
        <v>1</v>
      </c>
      <c r="F41" s="14">
        <v>600000</v>
      </c>
      <c r="G41" s="15">
        <f ca="1">TODAY()+248</f>
        <v>44469</v>
      </c>
    </row>
    <row r="42" spans="1:7" x14ac:dyDescent="0.2">
      <c r="A42" s="12" t="s">
        <v>3150</v>
      </c>
      <c r="B42" t="s">
        <v>2508</v>
      </c>
      <c r="C42" t="s">
        <v>2509</v>
      </c>
      <c r="D42" t="b">
        <v>0</v>
      </c>
      <c r="F42" s="14"/>
      <c r="G42" s="15"/>
    </row>
    <row r="43" spans="1:7" x14ac:dyDescent="0.2">
      <c r="A43" s="12" t="s">
        <v>3066</v>
      </c>
      <c r="B43" t="s">
        <v>2830</v>
      </c>
      <c r="C43" t="s">
        <v>2831</v>
      </c>
      <c r="D43" t="b">
        <v>0</v>
      </c>
      <c r="F43" s="14">
        <v>4700000</v>
      </c>
      <c r="G43" s="15">
        <f ca="1">TODAY()+125</f>
        <v>44346</v>
      </c>
    </row>
    <row r="44" spans="1:7" x14ac:dyDescent="0.2">
      <c r="A44" s="12" t="s">
        <v>3296</v>
      </c>
      <c r="B44" t="s">
        <v>2816</v>
      </c>
      <c r="C44" t="s">
        <v>2479</v>
      </c>
      <c r="D44" t="b">
        <v>0</v>
      </c>
      <c r="F44" s="14"/>
      <c r="G44" s="15"/>
    </row>
    <row r="45" spans="1:7" x14ac:dyDescent="0.2">
      <c r="A45" s="12" t="s">
        <v>3232</v>
      </c>
      <c r="B45" t="s">
        <v>2629</v>
      </c>
      <c r="C45" t="s">
        <v>2728</v>
      </c>
      <c r="D45" t="b">
        <v>0</v>
      </c>
      <c r="F45" s="14">
        <v>1300000</v>
      </c>
      <c r="G45" s="15">
        <f ca="1">TODAY()+203</f>
        <v>44424</v>
      </c>
    </row>
    <row r="46" spans="1:7" x14ac:dyDescent="0.2">
      <c r="A46" s="12" t="s">
        <v>3015</v>
      </c>
      <c r="B46" t="s">
        <v>2331</v>
      </c>
      <c r="C46" t="s">
        <v>2332</v>
      </c>
      <c r="D46" t="b">
        <v>1</v>
      </c>
      <c r="F46" s="14"/>
      <c r="G46" s="15"/>
    </row>
    <row r="47" spans="1:7" x14ac:dyDescent="0.2">
      <c r="A47" s="12" t="s">
        <v>2699</v>
      </c>
      <c r="B47" t="s">
        <v>2700</v>
      </c>
      <c r="C47" t="s">
        <v>2701</v>
      </c>
      <c r="D47" t="b">
        <v>0</v>
      </c>
      <c r="F47" s="14">
        <v>3900000</v>
      </c>
      <c r="G47" s="15">
        <f ca="1">TODAY()+145</f>
        <v>44366</v>
      </c>
    </row>
    <row r="48" spans="1:7" x14ac:dyDescent="0.2">
      <c r="A48" s="12" t="s">
        <v>3343</v>
      </c>
      <c r="B48" t="s">
        <v>2584</v>
      </c>
      <c r="C48" t="s">
        <v>2696</v>
      </c>
      <c r="D48" t="b">
        <v>0</v>
      </c>
      <c r="F48" s="14">
        <v>1900000</v>
      </c>
      <c r="G48" s="15">
        <f ca="1">TODAY()+208</f>
        <v>44429</v>
      </c>
    </row>
    <row r="49" spans="1:7" x14ac:dyDescent="0.2">
      <c r="A49" s="12" t="s">
        <v>3161</v>
      </c>
      <c r="B49" t="s">
        <v>2346</v>
      </c>
      <c r="C49" t="s">
        <v>2524</v>
      </c>
      <c r="D49" t="b">
        <v>0</v>
      </c>
      <c r="F49" s="14"/>
      <c r="G49" s="15"/>
    </row>
    <row r="50" spans="1:7" x14ac:dyDescent="0.2">
      <c r="A50" s="12" t="s">
        <v>3225</v>
      </c>
      <c r="B50" t="s">
        <v>2703</v>
      </c>
      <c r="C50" t="s">
        <v>2490</v>
      </c>
      <c r="D50" t="b">
        <v>0</v>
      </c>
      <c r="F50" s="14"/>
      <c r="G50" s="15"/>
    </row>
    <row r="51" spans="1:7" x14ac:dyDescent="0.2">
      <c r="A51" s="12" t="s">
        <v>3133</v>
      </c>
      <c r="B51" t="s">
        <v>2430</v>
      </c>
      <c r="C51" t="s">
        <v>2431</v>
      </c>
      <c r="D51" t="b">
        <v>0</v>
      </c>
      <c r="F51" s="14">
        <v>1700000</v>
      </c>
      <c r="G51" s="15">
        <f ca="1">TODAY()+313</f>
        <v>44534</v>
      </c>
    </row>
    <row r="52" spans="1:7" x14ac:dyDescent="0.2">
      <c r="A52" s="12" t="s">
        <v>2782</v>
      </c>
      <c r="B52" t="s">
        <v>2783</v>
      </c>
      <c r="C52" t="s">
        <v>2753</v>
      </c>
      <c r="D52" t="b">
        <v>0</v>
      </c>
      <c r="F52" s="14">
        <v>3800000</v>
      </c>
      <c r="G52" s="15">
        <f ca="1">TODAY()+252</f>
        <v>44473</v>
      </c>
    </row>
    <row r="53" spans="1:7" x14ac:dyDescent="0.2">
      <c r="A53" s="12" t="s">
        <v>2370</v>
      </c>
      <c r="B53" t="s">
        <v>2371</v>
      </c>
      <c r="C53" t="s">
        <v>2372</v>
      </c>
      <c r="D53" t="b">
        <v>0</v>
      </c>
      <c r="F53" s="14">
        <v>500000</v>
      </c>
      <c r="G53" s="15">
        <f ca="1">TODAY()+169</f>
        <v>44390</v>
      </c>
    </row>
    <row r="54" spans="1:7" x14ac:dyDescent="0.2">
      <c r="A54" s="12" t="s">
        <v>3235</v>
      </c>
      <c r="B54" t="s">
        <v>2732</v>
      </c>
      <c r="C54" t="s">
        <v>2398</v>
      </c>
      <c r="D54" t="b">
        <v>0</v>
      </c>
      <c r="F54" s="14">
        <v>4300000</v>
      </c>
      <c r="G54" s="15">
        <f ca="1">TODAY()+275</f>
        <v>44496</v>
      </c>
    </row>
    <row r="55" spans="1:7" x14ac:dyDescent="0.2">
      <c r="A55" s="12" t="s">
        <v>3308</v>
      </c>
      <c r="B55" t="s">
        <v>2600</v>
      </c>
      <c r="C55" t="s">
        <v>2362</v>
      </c>
      <c r="D55" t="b">
        <v>0</v>
      </c>
      <c r="F55" s="14"/>
      <c r="G55" s="15"/>
    </row>
    <row r="56" spans="1:7" x14ac:dyDescent="0.2">
      <c r="A56" s="12" t="s">
        <v>2943</v>
      </c>
      <c r="B56" t="s">
        <v>2620</v>
      </c>
      <c r="C56" t="s">
        <v>2758</v>
      </c>
      <c r="D56" t="b">
        <v>0</v>
      </c>
      <c r="F56" s="14"/>
      <c r="G56" s="15"/>
    </row>
    <row r="57" spans="1:7" x14ac:dyDescent="0.2">
      <c r="A57" s="12" t="s">
        <v>3092</v>
      </c>
      <c r="B57" t="s">
        <v>2827</v>
      </c>
      <c r="C57" t="s">
        <v>2951</v>
      </c>
      <c r="D57" t="b">
        <v>0</v>
      </c>
      <c r="F57" s="14"/>
      <c r="G57" s="15"/>
    </row>
    <row r="58" spans="1:7" x14ac:dyDescent="0.2">
      <c r="A58" s="12" t="s">
        <v>3184</v>
      </c>
      <c r="B58" t="s">
        <v>2606</v>
      </c>
      <c r="C58" t="s">
        <v>2607</v>
      </c>
      <c r="D58" t="b">
        <v>0</v>
      </c>
      <c r="E58" t="s">
        <v>2356</v>
      </c>
      <c r="F58" s="14">
        <v>3300000</v>
      </c>
      <c r="G58" s="15">
        <f ca="1">TODAY()+125</f>
        <v>44346</v>
      </c>
    </row>
    <row r="59" spans="1:7" x14ac:dyDescent="0.2">
      <c r="A59" s="12" t="s">
        <v>3318</v>
      </c>
      <c r="B59" t="s">
        <v>2755</v>
      </c>
      <c r="C59" t="s">
        <v>2682</v>
      </c>
      <c r="D59" t="b">
        <v>0</v>
      </c>
      <c r="F59" s="14">
        <v>2100000</v>
      </c>
      <c r="G59" s="15">
        <f ca="1">TODAY()+221</f>
        <v>44442</v>
      </c>
    </row>
    <row r="60" spans="1:7" x14ac:dyDescent="0.2">
      <c r="A60" s="12" t="s">
        <v>2453</v>
      </c>
      <c r="B60" t="s">
        <v>2454</v>
      </c>
      <c r="C60" t="s">
        <v>2455</v>
      </c>
      <c r="D60" t="b">
        <v>0</v>
      </c>
      <c r="F60" s="14">
        <v>2100000</v>
      </c>
      <c r="G60" s="15">
        <f ca="1">TODAY()+92</f>
        <v>44313</v>
      </c>
    </row>
    <row r="61" spans="1:7" x14ac:dyDescent="0.2">
      <c r="A61" s="12" t="s">
        <v>2710</v>
      </c>
      <c r="B61" t="s">
        <v>2621</v>
      </c>
      <c r="C61" t="s">
        <v>2711</v>
      </c>
      <c r="D61" t="b">
        <v>0</v>
      </c>
      <c r="F61" s="14">
        <v>4100000</v>
      </c>
      <c r="G61" s="15">
        <f ca="1">TODAY()+107</f>
        <v>44328</v>
      </c>
    </row>
    <row r="62" spans="1:7" x14ac:dyDescent="0.2">
      <c r="A62" s="12" t="s">
        <v>2815</v>
      </c>
      <c r="B62" t="s">
        <v>2816</v>
      </c>
      <c r="C62" t="s">
        <v>2817</v>
      </c>
      <c r="D62" t="b">
        <v>0</v>
      </c>
      <c r="F62" s="14"/>
      <c r="G62" s="15"/>
    </row>
    <row r="63" spans="1:7" x14ac:dyDescent="0.2">
      <c r="A63" s="12" t="s">
        <v>3028</v>
      </c>
      <c r="B63" t="s">
        <v>2475</v>
      </c>
      <c r="C63" t="s">
        <v>2479</v>
      </c>
      <c r="D63" t="b">
        <v>1</v>
      </c>
      <c r="F63" s="14"/>
      <c r="G63" s="15"/>
    </row>
    <row r="64" spans="1:7" x14ac:dyDescent="0.2">
      <c r="A64" s="12" t="s">
        <v>3254</v>
      </c>
      <c r="B64" t="s">
        <v>2768</v>
      </c>
      <c r="C64" t="s">
        <v>2429</v>
      </c>
      <c r="D64" t="b">
        <v>0</v>
      </c>
      <c r="F64" s="14">
        <v>3700000</v>
      </c>
      <c r="G64" s="15">
        <f ca="1">TODAY()+126</f>
        <v>44347</v>
      </c>
    </row>
    <row r="65" spans="1:7" x14ac:dyDescent="0.2">
      <c r="A65" s="12" t="s">
        <v>3056</v>
      </c>
      <c r="B65" t="s">
        <v>2659</v>
      </c>
      <c r="C65" t="s">
        <v>2330</v>
      </c>
      <c r="D65" t="b">
        <v>0</v>
      </c>
      <c r="F65" s="14"/>
      <c r="G65" s="15"/>
    </row>
    <row r="66" spans="1:7" x14ac:dyDescent="0.2">
      <c r="A66" s="12" t="s">
        <v>3162</v>
      </c>
      <c r="B66" t="s">
        <v>2550</v>
      </c>
      <c r="C66" t="s">
        <v>2551</v>
      </c>
      <c r="D66" t="b">
        <v>0</v>
      </c>
      <c r="F66" s="14">
        <v>1100000</v>
      </c>
      <c r="G66" s="15">
        <f ca="1">TODAY()+81</f>
        <v>44302</v>
      </c>
    </row>
    <row r="67" spans="1:7" x14ac:dyDescent="0.2">
      <c r="A67" s="12" t="s">
        <v>3304</v>
      </c>
      <c r="B67" t="s">
        <v>2363</v>
      </c>
      <c r="C67" t="s">
        <v>2910</v>
      </c>
      <c r="D67" t="b">
        <v>0</v>
      </c>
      <c r="F67" s="14"/>
      <c r="G67" s="15"/>
    </row>
    <row r="68" spans="1:7" x14ac:dyDescent="0.2">
      <c r="A68" s="12" t="s">
        <v>3263</v>
      </c>
      <c r="B68" t="s">
        <v>2465</v>
      </c>
      <c r="C68" t="s">
        <v>2407</v>
      </c>
      <c r="D68" t="b">
        <v>0</v>
      </c>
      <c r="F68" s="14"/>
      <c r="G68" s="15"/>
    </row>
    <row r="69" spans="1:7" x14ac:dyDescent="0.2">
      <c r="A69" s="12" t="s">
        <v>3216</v>
      </c>
      <c r="B69" t="s">
        <v>2679</v>
      </c>
      <c r="C69" t="s">
        <v>2680</v>
      </c>
      <c r="D69" t="b">
        <v>0</v>
      </c>
      <c r="F69" s="14"/>
      <c r="G69" s="15"/>
    </row>
    <row r="70" spans="1:7" x14ac:dyDescent="0.2">
      <c r="A70" s="12" t="s">
        <v>3324</v>
      </c>
      <c r="B70" t="s">
        <v>2714</v>
      </c>
      <c r="C70" t="s">
        <v>2392</v>
      </c>
      <c r="D70" t="b">
        <v>1</v>
      </c>
      <c r="F70" s="14"/>
      <c r="G70" s="15"/>
    </row>
    <row r="71" spans="1:7" x14ac:dyDescent="0.2">
      <c r="A71" s="12" t="s">
        <v>2923</v>
      </c>
      <c r="B71" t="s">
        <v>2813</v>
      </c>
      <c r="C71" t="s">
        <v>2924</v>
      </c>
      <c r="D71" t="b">
        <v>1</v>
      </c>
      <c r="F71" s="14">
        <v>3200000</v>
      </c>
      <c r="G71" s="15">
        <f ca="1">TODAY()+355</f>
        <v>44576</v>
      </c>
    </row>
    <row r="72" spans="1:7" x14ac:dyDescent="0.2">
      <c r="A72" s="12" t="s">
        <v>3149</v>
      </c>
      <c r="B72" t="s">
        <v>2506</v>
      </c>
      <c r="C72" t="s">
        <v>2507</v>
      </c>
      <c r="D72" t="b">
        <v>0</v>
      </c>
      <c r="F72" s="14"/>
      <c r="G72" s="15"/>
    </row>
    <row r="73" spans="1:7" x14ac:dyDescent="0.2">
      <c r="A73" s="12" t="s">
        <v>3136</v>
      </c>
      <c r="B73" t="s">
        <v>2448</v>
      </c>
      <c r="C73" t="s">
        <v>2449</v>
      </c>
      <c r="D73" t="b">
        <v>0</v>
      </c>
      <c r="F73" s="14"/>
      <c r="G73" s="15"/>
    </row>
    <row r="74" spans="1:7" x14ac:dyDescent="0.2">
      <c r="A74" s="12" t="s">
        <v>3259</v>
      </c>
      <c r="B74" t="s">
        <v>2539</v>
      </c>
      <c r="C74" t="s">
        <v>2784</v>
      </c>
      <c r="D74" t="b">
        <v>0</v>
      </c>
      <c r="F74" s="14">
        <v>2400000</v>
      </c>
      <c r="G74" s="15">
        <f ca="1">TODAY()+186</f>
        <v>44407</v>
      </c>
    </row>
    <row r="75" spans="1:7" x14ac:dyDescent="0.2">
      <c r="A75" s="12" t="s">
        <v>3241</v>
      </c>
      <c r="B75" t="s">
        <v>2615</v>
      </c>
      <c r="C75" t="s">
        <v>2719</v>
      </c>
      <c r="D75" t="b">
        <v>0</v>
      </c>
      <c r="F75" s="14"/>
      <c r="G75" s="15"/>
    </row>
    <row r="76" spans="1:7" x14ac:dyDescent="0.2">
      <c r="A76" s="12" t="s">
        <v>3168</v>
      </c>
      <c r="B76" t="s">
        <v>2568</v>
      </c>
      <c r="C76" t="s">
        <v>2488</v>
      </c>
      <c r="D76" t="b">
        <v>0</v>
      </c>
      <c r="E76" t="s">
        <v>2356</v>
      </c>
      <c r="F76" s="14"/>
      <c r="G76" s="15"/>
    </row>
    <row r="77" spans="1:7" x14ac:dyDescent="0.2">
      <c r="A77" s="12" t="s">
        <v>3279</v>
      </c>
      <c r="B77" t="s">
        <v>2625</v>
      </c>
      <c r="C77" t="s">
        <v>2838</v>
      </c>
      <c r="D77" t="b">
        <v>0</v>
      </c>
      <c r="F77" s="14">
        <v>1100000</v>
      </c>
      <c r="G77" s="15">
        <f ca="1">TODAY()+97</f>
        <v>44318</v>
      </c>
    </row>
    <row r="78" spans="1:7" x14ac:dyDescent="0.2">
      <c r="A78" s="12" t="s">
        <v>3300</v>
      </c>
      <c r="B78" t="s">
        <v>2681</v>
      </c>
      <c r="C78" t="s">
        <v>2774</v>
      </c>
      <c r="D78" t="b">
        <v>0</v>
      </c>
      <c r="F78" s="14"/>
      <c r="G78" s="15"/>
    </row>
    <row r="79" spans="1:7" x14ac:dyDescent="0.2">
      <c r="A79" s="12" t="s">
        <v>3221</v>
      </c>
      <c r="B79" t="s">
        <v>2694</v>
      </c>
      <c r="C79" t="s">
        <v>2695</v>
      </c>
      <c r="D79" t="b">
        <v>0</v>
      </c>
      <c r="F79" s="14"/>
      <c r="G79" s="15"/>
    </row>
    <row r="80" spans="1:7" x14ac:dyDescent="0.2">
      <c r="A80" s="12" t="s">
        <v>3197</v>
      </c>
      <c r="B80" t="s">
        <v>2567</v>
      </c>
      <c r="C80" t="s">
        <v>2362</v>
      </c>
      <c r="D80" t="b">
        <v>0</v>
      </c>
      <c r="F80" s="14"/>
      <c r="G80" s="15"/>
    </row>
    <row r="81" spans="1:7" x14ac:dyDescent="0.2">
      <c r="A81" s="12" t="s">
        <v>3037</v>
      </c>
      <c r="B81" t="s">
        <v>2446</v>
      </c>
      <c r="C81" t="s">
        <v>2420</v>
      </c>
      <c r="D81" t="b">
        <v>0</v>
      </c>
      <c r="F81" s="14"/>
      <c r="G81" s="15"/>
    </row>
    <row r="82" spans="1:7" x14ac:dyDescent="0.2">
      <c r="A82" s="12" t="s">
        <v>3027</v>
      </c>
      <c r="B82" t="s">
        <v>2425</v>
      </c>
      <c r="C82" t="s">
        <v>2471</v>
      </c>
      <c r="D82" t="b">
        <v>0</v>
      </c>
      <c r="F82" s="14"/>
      <c r="G82" s="15"/>
    </row>
    <row r="83" spans="1:7" x14ac:dyDescent="0.2">
      <c r="A83" s="12" t="s">
        <v>3319</v>
      </c>
      <c r="B83" t="s">
        <v>2785</v>
      </c>
      <c r="C83" t="s">
        <v>2932</v>
      </c>
      <c r="D83" t="b">
        <v>0</v>
      </c>
      <c r="F83" s="14">
        <v>2900000</v>
      </c>
      <c r="G83" s="15">
        <f ca="1">TODAY()+173</f>
        <v>44394</v>
      </c>
    </row>
    <row r="84" spans="1:7" x14ac:dyDescent="0.2">
      <c r="A84" s="12" t="s">
        <v>3046</v>
      </c>
      <c r="B84" t="s">
        <v>2395</v>
      </c>
      <c r="C84" t="s">
        <v>2452</v>
      </c>
      <c r="D84" t="b">
        <v>1</v>
      </c>
      <c r="F84" s="14">
        <v>1400000</v>
      </c>
      <c r="G84" s="15">
        <f ca="1">TODAY()+233</f>
        <v>44454</v>
      </c>
    </row>
    <row r="85" spans="1:7" x14ac:dyDescent="0.2">
      <c r="A85" s="12" t="s">
        <v>3029</v>
      </c>
      <c r="B85" t="s">
        <v>2489</v>
      </c>
      <c r="C85" t="s">
        <v>2490</v>
      </c>
      <c r="D85" t="b">
        <v>0</v>
      </c>
      <c r="F85" s="14">
        <v>1800000</v>
      </c>
      <c r="G85" s="15">
        <f ca="1">TODAY()+216</f>
        <v>44437</v>
      </c>
    </row>
    <row r="86" spans="1:7" x14ac:dyDescent="0.2">
      <c r="A86" s="12" t="s">
        <v>3135</v>
      </c>
      <c r="B86" t="s">
        <v>2399</v>
      </c>
      <c r="C86" t="s">
        <v>2433</v>
      </c>
      <c r="D86" t="b">
        <v>0</v>
      </c>
      <c r="F86" s="14">
        <v>4200000</v>
      </c>
      <c r="G86" s="15">
        <f ca="1">TODAY()+215</f>
        <v>44436</v>
      </c>
    </row>
    <row r="87" spans="1:7" x14ac:dyDescent="0.2">
      <c r="A87" s="12" t="s">
        <v>3014</v>
      </c>
      <c r="B87" t="s">
        <v>2319</v>
      </c>
      <c r="C87" t="s">
        <v>2320</v>
      </c>
      <c r="D87" t="b">
        <v>0</v>
      </c>
      <c r="F87" s="14"/>
      <c r="G87" s="15"/>
    </row>
    <row r="88" spans="1:7" x14ac:dyDescent="0.2">
      <c r="A88" s="12" t="s">
        <v>3073</v>
      </c>
      <c r="B88" t="s">
        <v>2419</v>
      </c>
      <c r="C88" t="s">
        <v>2847</v>
      </c>
      <c r="D88" t="b">
        <v>0</v>
      </c>
      <c r="F88" s="14"/>
      <c r="G88" s="15"/>
    </row>
    <row r="89" spans="1:7" x14ac:dyDescent="0.2">
      <c r="A89" s="12" t="s">
        <v>2382</v>
      </c>
      <c r="B89" t="s">
        <v>2918</v>
      </c>
      <c r="C89" t="s">
        <v>2887</v>
      </c>
      <c r="D89" t="b">
        <v>1</v>
      </c>
      <c r="F89" s="14"/>
      <c r="G89" s="15"/>
    </row>
    <row r="90" spans="1:7" x14ac:dyDescent="0.2">
      <c r="A90" s="12" t="s">
        <v>3061</v>
      </c>
      <c r="B90" t="s">
        <v>2773</v>
      </c>
      <c r="C90" t="s">
        <v>2774</v>
      </c>
      <c r="D90" t="b">
        <v>0</v>
      </c>
      <c r="F90" s="14">
        <v>3600000</v>
      </c>
      <c r="G90" s="15">
        <f ca="1">TODAY()+204</f>
        <v>44425</v>
      </c>
    </row>
    <row r="91" spans="1:7" x14ac:dyDescent="0.2">
      <c r="A91" s="12" t="s">
        <v>3204</v>
      </c>
      <c r="B91" t="s">
        <v>2659</v>
      </c>
      <c r="C91" t="s">
        <v>2660</v>
      </c>
      <c r="D91" t="b">
        <v>0</v>
      </c>
      <c r="E91" t="s">
        <v>2356</v>
      </c>
      <c r="F91" s="14"/>
      <c r="G91" s="15"/>
    </row>
    <row r="92" spans="1:7" x14ac:dyDescent="0.2">
      <c r="A92" s="12" t="s">
        <v>3244</v>
      </c>
      <c r="B92" t="s">
        <v>2748</v>
      </c>
      <c r="C92" t="s">
        <v>2618</v>
      </c>
      <c r="D92" t="b">
        <v>0</v>
      </c>
      <c r="F92" s="14">
        <v>4100000</v>
      </c>
      <c r="G92" s="15">
        <f ca="1">TODAY()+127</f>
        <v>44348</v>
      </c>
    </row>
    <row r="93" spans="1:7" x14ac:dyDescent="0.2">
      <c r="A93" s="12" t="s">
        <v>3127</v>
      </c>
      <c r="B93" t="s">
        <v>2401</v>
      </c>
      <c r="C93" t="s">
        <v>2402</v>
      </c>
      <c r="D93" t="b">
        <v>0</v>
      </c>
      <c r="F93" s="14"/>
      <c r="G93" s="15"/>
    </row>
    <row r="94" spans="1:7" x14ac:dyDescent="0.2">
      <c r="A94" s="12" t="s">
        <v>3199</v>
      </c>
      <c r="B94" t="s">
        <v>2487</v>
      </c>
      <c r="C94" t="s">
        <v>2643</v>
      </c>
      <c r="D94" t="b">
        <v>0</v>
      </c>
      <c r="F94" s="14"/>
      <c r="G94" s="15"/>
    </row>
    <row r="95" spans="1:7" x14ac:dyDescent="0.2">
      <c r="A95" s="12" t="s">
        <v>2856</v>
      </c>
      <c r="B95" t="s">
        <v>2857</v>
      </c>
      <c r="C95" t="s">
        <v>2381</v>
      </c>
      <c r="D95" t="b">
        <v>0</v>
      </c>
      <c r="F95" s="14"/>
      <c r="G95" s="15"/>
    </row>
    <row r="96" spans="1:7" x14ac:dyDescent="0.2">
      <c r="A96" s="12" t="s">
        <v>3088</v>
      </c>
      <c r="B96" t="s">
        <v>2936</v>
      </c>
      <c r="C96" t="s">
        <v>2402</v>
      </c>
      <c r="D96" t="b">
        <v>1</v>
      </c>
      <c r="F96" s="14">
        <v>1100000</v>
      </c>
      <c r="G96" s="15">
        <f ca="1">TODAY()+255</f>
        <v>44476</v>
      </c>
    </row>
    <row r="97" spans="1:7" x14ac:dyDescent="0.2">
      <c r="A97" s="12" t="s">
        <v>2357</v>
      </c>
      <c r="B97" t="s">
        <v>2827</v>
      </c>
      <c r="C97" t="s">
        <v>2828</v>
      </c>
      <c r="D97" t="b">
        <v>0</v>
      </c>
      <c r="F97" s="14">
        <v>2900000</v>
      </c>
      <c r="G97" s="15">
        <f ca="1">TODAY()+107</f>
        <v>44328</v>
      </c>
    </row>
    <row r="98" spans="1:7" x14ac:dyDescent="0.2">
      <c r="A98" s="12" t="s">
        <v>3086</v>
      </c>
      <c r="B98" t="s">
        <v>2868</v>
      </c>
      <c r="C98" t="s">
        <v>2582</v>
      </c>
      <c r="D98" t="b">
        <v>0</v>
      </c>
      <c r="F98" s="14">
        <v>3600000</v>
      </c>
      <c r="G98" s="15">
        <f ca="1">TODAY()+95</f>
        <v>44316</v>
      </c>
    </row>
    <row r="99" spans="1:7" x14ac:dyDescent="0.2">
      <c r="A99" s="12" t="s">
        <v>3112</v>
      </c>
      <c r="B99" t="s">
        <v>2344</v>
      </c>
      <c r="C99" t="s">
        <v>2345</v>
      </c>
      <c r="D99" t="b">
        <v>1</v>
      </c>
      <c r="F99" s="14">
        <v>2200000</v>
      </c>
      <c r="G99" s="15">
        <f ca="1">TODAY()+300</f>
        <v>44521</v>
      </c>
    </row>
    <row r="100" spans="1:7" x14ac:dyDescent="0.2">
      <c r="A100" s="12" t="s">
        <v>3276</v>
      </c>
      <c r="B100" t="s">
        <v>2834</v>
      </c>
      <c r="C100" t="s">
        <v>2432</v>
      </c>
      <c r="D100" t="b">
        <v>0</v>
      </c>
      <c r="F100" s="14"/>
      <c r="G100" s="15"/>
    </row>
    <row r="101" spans="1:7" x14ac:dyDescent="0.2">
      <c r="A101" s="12" t="s">
        <v>3369</v>
      </c>
      <c r="B101" t="s">
        <v>2629</v>
      </c>
      <c r="C101" t="s">
        <v>2975</v>
      </c>
      <c r="D101" t="b">
        <v>0</v>
      </c>
      <c r="F101" s="14"/>
      <c r="G101" s="15"/>
    </row>
    <row r="102" spans="1:7" x14ac:dyDescent="0.2">
      <c r="A102" s="12" t="s">
        <v>3193</v>
      </c>
      <c r="B102" t="s">
        <v>2629</v>
      </c>
      <c r="C102" t="s">
        <v>2330</v>
      </c>
      <c r="D102" t="b">
        <v>0</v>
      </c>
      <c r="F102" s="14"/>
      <c r="G102" s="15"/>
    </row>
    <row r="103" spans="1:7" x14ac:dyDescent="0.2">
      <c r="A103" s="12" t="s">
        <v>2528</v>
      </c>
      <c r="B103" t="s">
        <v>2529</v>
      </c>
      <c r="C103" t="s">
        <v>2530</v>
      </c>
      <c r="D103" t="b">
        <v>0</v>
      </c>
      <c r="F103" s="14"/>
      <c r="G103" s="15"/>
    </row>
    <row r="104" spans="1:7" x14ac:dyDescent="0.2">
      <c r="A104" s="12" t="s">
        <v>2511</v>
      </c>
      <c r="B104" t="s">
        <v>2512</v>
      </c>
      <c r="C104" t="s">
        <v>2381</v>
      </c>
      <c r="D104" t="b">
        <v>0</v>
      </c>
      <c r="F104" s="14"/>
      <c r="G104" s="15"/>
    </row>
    <row r="105" spans="1:7" x14ac:dyDescent="0.2">
      <c r="A105" s="12" t="s">
        <v>3131</v>
      </c>
      <c r="B105" t="s">
        <v>2414</v>
      </c>
      <c r="C105" t="s">
        <v>2415</v>
      </c>
      <c r="D105" t="b">
        <v>0</v>
      </c>
      <c r="E105" t="s">
        <v>2356</v>
      </c>
      <c r="F105" s="14"/>
      <c r="G105" s="15"/>
    </row>
    <row r="106" spans="1:7" x14ac:dyDescent="0.2">
      <c r="A106" s="12" t="s">
        <v>2518</v>
      </c>
      <c r="B106" t="s">
        <v>2519</v>
      </c>
      <c r="C106" t="s">
        <v>2520</v>
      </c>
      <c r="D106" t="b">
        <v>0</v>
      </c>
      <c r="F106" s="14"/>
      <c r="G106" s="15"/>
    </row>
    <row r="107" spans="1:7" x14ac:dyDescent="0.2">
      <c r="A107" s="12" t="s">
        <v>3222</v>
      </c>
      <c r="B107" t="s">
        <v>2327</v>
      </c>
      <c r="C107" t="s">
        <v>2697</v>
      </c>
      <c r="D107" t="b">
        <v>1</v>
      </c>
      <c r="F107" s="14"/>
      <c r="G107" s="15"/>
    </row>
    <row r="108" spans="1:7" x14ac:dyDescent="0.2">
      <c r="A108" s="12" t="s">
        <v>3266</v>
      </c>
      <c r="B108" t="s">
        <v>2802</v>
      </c>
      <c r="C108" t="s">
        <v>2433</v>
      </c>
      <c r="D108" t="b">
        <v>0</v>
      </c>
      <c r="F108" s="14">
        <v>3800000</v>
      </c>
      <c r="G108" s="15">
        <f ca="1">TODAY()+177</f>
        <v>44398</v>
      </c>
    </row>
    <row r="109" spans="1:7" x14ac:dyDescent="0.2">
      <c r="A109" s="12" t="s">
        <v>3077</v>
      </c>
      <c r="B109" t="s">
        <v>2894</v>
      </c>
      <c r="C109" t="s">
        <v>2460</v>
      </c>
      <c r="D109" t="b">
        <v>0</v>
      </c>
      <c r="F109" s="14"/>
      <c r="G109" s="15"/>
    </row>
    <row r="110" spans="1:7" x14ac:dyDescent="0.2">
      <c r="A110" s="12" t="s">
        <v>3198</v>
      </c>
      <c r="B110" t="s">
        <v>2639</v>
      </c>
      <c r="C110" t="s">
        <v>2640</v>
      </c>
      <c r="D110" t="b">
        <v>0</v>
      </c>
      <c r="F110" s="14">
        <v>2600000</v>
      </c>
      <c r="G110" s="15">
        <f ca="1">TODAY()+345</f>
        <v>44566</v>
      </c>
    </row>
    <row r="111" spans="1:7" x14ac:dyDescent="0.2">
      <c r="A111" s="12" t="s">
        <v>3100</v>
      </c>
      <c r="B111" t="s">
        <v>2900</v>
      </c>
      <c r="C111" t="s">
        <v>2986</v>
      </c>
      <c r="D111" t="b">
        <v>1</v>
      </c>
      <c r="F111" s="14">
        <v>3800000</v>
      </c>
      <c r="G111" s="15">
        <f ca="1">TODAY()+358</f>
        <v>44579</v>
      </c>
    </row>
    <row r="112" spans="1:7" x14ac:dyDescent="0.2">
      <c r="A112" s="12" t="s">
        <v>3154</v>
      </c>
      <c r="B112" t="s">
        <v>2527</v>
      </c>
      <c r="C112" t="s">
        <v>2329</v>
      </c>
      <c r="D112" t="b">
        <v>0</v>
      </c>
      <c r="F112" s="14">
        <v>1600000</v>
      </c>
      <c r="G112" s="15">
        <f ca="1">TODAY()+175</f>
        <v>44396</v>
      </c>
    </row>
    <row r="113" spans="1:7" x14ac:dyDescent="0.2">
      <c r="A113" s="12" t="s">
        <v>3370</v>
      </c>
      <c r="B113" t="s">
        <v>2798</v>
      </c>
      <c r="C113" t="s">
        <v>2992</v>
      </c>
      <c r="D113" t="b">
        <v>0</v>
      </c>
      <c r="F113" s="14"/>
      <c r="G113" s="15"/>
    </row>
    <row r="114" spans="1:7" x14ac:dyDescent="0.2">
      <c r="A114" s="12" t="s">
        <v>3196</v>
      </c>
      <c r="B114" t="s">
        <v>2638</v>
      </c>
      <c r="C114" t="s">
        <v>2575</v>
      </c>
      <c r="D114" t="b">
        <v>0</v>
      </c>
      <c r="F114" s="14"/>
      <c r="G114" s="15"/>
    </row>
    <row r="115" spans="1:7" x14ac:dyDescent="0.2">
      <c r="A115" s="12" t="s">
        <v>2906</v>
      </c>
      <c r="B115" t="s">
        <v>2907</v>
      </c>
      <c r="C115" t="s">
        <v>2841</v>
      </c>
      <c r="D115" t="b">
        <v>0</v>
      </c>
      <c r="F115" s="14"/>
      <c r="G115" s="15"/>
    </row>
    <row r="116" spans="1:7" x14ac:dyDescent="0.2">
      <c r="A116" s="12" t="s">
        <v>3137</v>
      </c>
      <c r="B116" t="s">
        <v>2456</v>
      </c>
      <c r="C116" t="s">
        <v>2457</v>
      </c>
      <c r="D116" t="b">
        <v>0</v>
      </c>
      <c r="E116" t="s">
        <v>2356</v>
      </c>
      <c r="F116" s="14">
        <v>4100000</v>
      </c>
      <c r="G116" s="15">
        <f ca="1">TODAY()+244</f>
        <v>44465</v>
      </c>
    </row>
    <row r="117" spans="1:7" x14ac:dyDescent="0.2">
      <c r="A117" s="12" t="s">
        <v>3109</v>
      </c>
      <c r="B117" t="s">
        <v>2335</v>
      </c>
      <c r="C117" t="s">
        <v>2336</v>
      </c>
      <c r="D117" t="b">
        <v>1</v>
      </c>
      <c r="F117" s="14"/>
      <c r="G117" s="15"/>
    </row>
    <row r="118" spans="1:7" x14ac:dyDescent="0.2">
      <c r="A118" s="12" t="s">
        <v>3208</v>
      </c>
      <c r="B118" t="s">
        <v>2667</v>
      </c>
      <c r="C118" t="s">
        <v>2668</v>
      </c>
      <c r="D118" t="b">
        <v>0</v>
      </c>
      <c r="F118" s="14"/>
      <c r="G118" s="15"/>
    </row>
    <row r="119" spans="1:7" x14ac:dyDescent="0.2">
      <c r="A119" s="12" t="s">
        <v>3253</v>
      </c>
      <c r="B119" t="s">
        <v>2764</v>
      </c>
      <c r="C119" t="s">
        <v>2624</v>
      </c>
      <c r="D119" t="b">
        <v>1</v>
      </c>
      <c r="F119" s="14"/>
      <c r="G119" s="15"/>
    </row>
    <row r="120" spans="1:7" x14ac:dyDescent="0.2">
      <c r="A120" s="12" t="s">
        <v>3165</v>
      </c>
      <c r="B120" t="s">
        <v>2557</v>
      </c>
      <c r="C120" t="s">
        <v>2558</v>
      </c>
      <c r="D120" t="b">
        <v>0</v>
      </c>
      <c r="F120" s="14">
        <v>800000</v>
      </c>
      <c r="G120" s="15">
        <f ca="1">TODAY()+216</f>
        <v>44437</v>
      </c>
    </row>
    <row r="121" spans="1:7" x14ac:dyDescent="0.2">
      <c r="A121" s="12" t="s">
        <v>3064</v>
      </c>
      <c r="B121" t="s">
        <v>2796</v>
      </c>
      <c r="C121" t="s">
        <v>2680</v>
      </c>
      <c r="D121" t="b">
        <v>1</v>
      </c>
      <c r="F121" s="14">
        <v>500000</v>
      </c>
      <c r="G121" s="15">
        <f ca="1">TODAY()+66</f>
        <v>44287</v>
      </c>
    </row>
    <row r="122" spans="1:7" x14ac:dyDescent="0.2">
      <c r="A122" s="12" t="s">
        <v>3182</v>
      </c>
      <c r="B122" t="s">
        <v>2604</v>
      </c>
      <c r="C122" t="s">
        <v>2463</v>
      </c>
      <c r="D122" t="b">
        <v>0</v>
      </c>
      <c r="F122" s="14">
        <v>1900000</v>
      </c>
      <c r="G122" s="15">
        <f ca="1">TODAY()+281</f>
        <v>44502</v>
      </c>
    </row>
    <row r="123" spans="1:7" x14ac:dyDescent="0.2">
      <c r="A123" s="12" t="s">
        <v>3047</v>
      </c>
      <c r="B123" t="s">
        <v>2652</v>
      </c>
      <c r="C123" t="s">
        <v>2384</v>
      </c>
      <c r="D123" t="b">
        <v>0</v>
      </c>
      <c r="F123" s="14"/>
      <c r="G123" s="15"/>
    </row>
    <row r="124" spans="1:7" x14ac:dyDescent="0.2">
      <c r="A124" s="12" t="s">
        <v>3126</v>
      </c>
      <c r="B124" t="s">
        <v>2399</v>
      </c>
      <c r="C124" t="s">
        <v>2400</v>
      </c>
      <c r="D124" t="b">
        <v>1</v>
      </c>
      <c r="F124" s="14">
        <v>1600000</v>
      </c>
      <c r="G124" s="15">
        <f ca="1">TODAY()+348</f>
        <v>44569</v>
      </c>
    </row>
    <row r="125" spans="1:7" x14ac:dyDescent="0.2">
      <c r="A125" s="12" t="s">
        <v>3020</v>
      </c>
      <c r="B125" t="s">
        <v>2387</v>
      </c>
      <c r="C125" t="s">
        <v>2388</v>
      </c>
      <c r="D125" t="b">
        <v>1</v>
      </c>
      <c r="F125" s="14">
        <v>3700000</v>
      </c>
      <c r="G125" s="15">
        <f ca="1">TODAY()+216</f>
        <v>44437</v>
      </c>
    </row>
    <row r="126" spans="1:7" x14ac:dyDescent="0.2">
      <c r="A126" s="12" t="s">
        <v>3097</v>
      </c>
      <c r="B126" t="s">
        <v>2776</v>
      </c>
      <c r="C126" t="s">
        <v>2976</v>
      </c>
      <c r="D126" t="b">
        <v>0</v>
      </c>
      <c r="F126" s="14"/>
      <c r="G126" s="15"/>
    </row>
    <row r="127" spans="1:7" x14ac:dyDescent="0.2">
      <c r="A127" s="12" t="s">
        <v>3360</v>
      </c>
      <c r="B127" t="s">
        <v>2800</v>
      </c>
      <c r="C127" t="s">
        <v>2328</v>
      </c>
      <c r="D127" t="b">
        <v>0</v>
      </c>
      <c r="F127" s="14">
        <v>3900000</v>
      </c>
      <c r="G127" s="15">
        <f ca="1">TODAY()+189</f>
        <v>44410</v>
      </c>
    </row>
    <row r="128" spans="1:7" x14ac:dyDescent="0.2">
      <c r="A128" s="12" t="s">
        <v>3067</v>
      </c>
      <c r="B128" t="s">
        <v>2842</v>
      </c>
      <c r="C128" t="s">
        <v>2794</v>
      </c>
      <c r="D128" t="b">
        <v>0</v>
      </c>
      <c r="F128" s="14"/>
      <c r="G128" s="15"/>
    </row>
    <row r="129" spans="1:7" x14ac:dyDescent="0.2">
      <c r="A129" s="12" t="s">
        <v>3246</v>
      </c>
      <c r="B129" t="s">
        <v>2752</v>
      </c>
      <c r="C129" t="s">
        <v>2753</v>
      </c>
      <c r="D129" t="b">
        <v>0</v>
      </c>
      <c r="F129" s="14"/>
      <c r="G129" s="15"/>
    </row>
    <row r="130" spans="1:7" x14ac:dyDescent="0.2">
      <c r="A130" s="12" t="s">
        <v>3095</v>
      </c>
      <c r="B130" t="s">
        <v>2966</v>
      </c>
      <c r="C130" t="s">
        <v>2967</v>
      </c>
      <c r="D130" t="b">
        <v>1</v>
      </c>
      <c r="F130" s="14">
        <v>3400000</v>
      </c>
      <c r="G130" s="15">
        <f ca="1">TODAY()+332</f>
        <v>44553</v>
      </c>
    </row>
    <row r="131" spans="1:7" x14ac:dyDescent="0.2">
      <c r="A131" s="12" t="s">
        <v>3240</v>
      </c>
      <c r="B131" t="s">
        <v>2740</v>
      </c>
      <c r="C131" t="s">
        <v>2741</v>
      </c>
      <c r="D131" t="b">
        <v>0</v>
      </c>
      <c r="F131" s="14"/>
      <c r="G131" s="15"/>
    </row>
    <row r="132" spans="1:7" x14ac:dyDescent="0.2">
      <c r="A132" s="12" t="s">
        <v>3139</v>
      </c>
      <c r="B132" t="s">
        <v>2467</v>
      </c>
      <c r="C132" t="s">
        <v>2468</v>
      </c>
      <c r="D132" t="b">
        <v>0</v>
      </c>
      <c r="F132" s="14">
        <v>4800000</v>
      </c>
      <c r="G132" s="15">
        <f ca="1">TODAY()+207</f>
        <v>44428</v>
      </c>
    </row>
    <row r="133" spans="1:7" x14ac:dyDescent="0.2">
      <c r="A133" s="12" t="s">
        <v>2797</v>
      </c>
      <c r="B133" t="s">
        <v>2798</v>
      </c>
      <c r="C133" t="s">
        <v>2784</v>
      </c>
      <c r="D133" t="b">
        <v>0</v>
      </c>
      <c r="F133" s="14"/>
      <c r="G133" s="15"/>
    </row>
    <row r="134" spans="1:7" x14ac:dyDescent="0.2">
      <c r="A134" s="12" t="s">
        <v>3052</v>
      </c>
      <c r="B134" t="s">
        <v>2730</v>
      </c>
      <c r="C134" t="s">
        <v>2398</v>
      </c>
      <c r="D134" t="b">
        <v>0</v>
      </c>
      <c r="F134" s="14"/>
      <c r="G134" s="15"/>
    </row>
    <row r="135" spans="1:7" x14ac:dyDescent="0.2">
      <c r="A135" s="12" t="s">
        <v>3219</v>
      </c>
      <c r="B135" t="s">
        <v>2677</v>
      </c>
      <c r="C135" t="s">
        <v>2369</v>
      </c>
      <c r="D135" t="b">
        <v>0</v>
      </c>
      <c r="F135" s="14"/>
      <c r="G135" s="15"/>
    </row>
    <row r="136" spans="1:7" x14ac:dyDescent="0.2">
      <c r="A136" s="12" t="s">
        <v>3169</v>
      </c>
      <c r="B136" t="s">
        <v>2569</v>
      </c>
      <c r="C136" t="s">
        <v>2570</v>
      </c>
      <c r="D136" t="b">
        <v>0</v>
      </c>
      <c r="F136" s="14"/>
      <c r="G136" s="15"/>
    </row>
    <row r="137" spans="1:7" x14ac:dyDescent="0.2">
      <c r="A137" s="12" t="s">
        <v>3280</v>
      </c>
      <c r="B137" t="s">
        <v>2839</v>
      </c>
      <c r="C137" t="s">
        <v>2374</v>
      </c>
      <c r="D137" t="b">
        <v>1</v>
      </c>
      <c r="F137" s="14"/>
      <c r="G137" s="15"/>
    </row>
    <row r="138" spans="1:7" x14ac:dyDescent="0.2">
      <c r="A138" s="12" t="s">
        <v>3363</v>
      </c>
      <c r="B138" t="s">
        <v>2934</v>
      </c>
      <c r="C138" t="s">
        <v>2429</v>
      </c>
      <c r="D138" t="b">
        <v>0</v>
      </c>
      <c r="F138" s="14"/>
      <c r="G138" s="15"/>
    </row>
    <row r="139" spans="1:7" x14ac:dyDescent="0.2">
      <c r="A139" s="12" t="s">
        <v>3351</v>
      </c>
      <c r="B139" t="s">
        <v>2979</v>
      </c>
      <c r="C139" t="s">
        <v>2537</v>
      </c>
      <c r="D139" t="b">
        <v>0</v>
      </c>
      <c r="F139" s="14"/>
      <c r="G139" s="15"/>
    </row>
    <row r="140" spans="1:7" x14ac:dyDescent="0.2">
      <c r="A140" s="12" t="s">
        <v>3309</v>
      </c>
      <c r="B140" t="s">
        <v>2916</v>
      </c>
      <c r="C140" t="s">
        <v>2758</v>
      </c>
      <c r="D140" t="b">
        <v>0</v>
      </c>
      <c r="F140" s="14">
        <v>500000</v>
      </c>
      <c r="G140" s="15">
        <f ca="1">TODAY()+324</f>
        <v>44545</v>
      </c>
    </row>
    <row r="141" spans="1:7" x14ac:dyDescent="0.2">
      <c r="A141" s="12" t="s">
        <v>3345</v>
      </c>
      <c r="B141" t="s">
        <v>2800</v>
      </c>
      <c r="C141" t="s">
        <v>2362</v>
      </c>
      <c r="D141" t="b">
        <v>0</v>
      </c>
      <c r="F141" s="14">
        <v>3300000</v>
      </c>
      <c r="G141" s="15">
        <f ca="1">TODAY()+105</f>
        <v>44326</v>
      </c>
    </row>
    <row r="142" spans="1:7" x14ac:dyDescent="0.2">
      <c r="A142" s="12" t="s">
        <v>3153</v>
      </c>
      <c r="B142" t="s">
        <v>2446</v>
      </c>
      <c r="C142" t="s">
        <v>2522</v>
      </c>
      <c r="D142" t="b">
        <v>0</v>
      </c>
      <c r="F142" s="14">
        <v>4400000</v>
      </c>
      <c r="G142" s="15">
        <f ca="1">TODAY()+268</f>
        <v>44489</v>
      </c>
    </row>
    <row r="143" spans="1:7" x14ac:dyDescent="0.2">
      <c r="A143" s="12" t="s">
        <v>2892</v>
      </c>
      <c r="B143" t="s">
        <v>2785</v>
      </c>
      <c r="C143" t="s">
        <v>2893</v>
      </c>
      <c r="D143" t="b">
        <v>0</v>
      </c>
      <c r="F143" s="14"/>
      <c r="G143" s="15"/>
    </row>
    <row r="144" spans="1:7" x14ac:dyDescent="0.2">
      <c r="A144" s="12" t="s">
        <v>3063</v>
      </c>
      <c r="B144" t="s">
        <v>2775</v>
      </c>
      <c r="C144" t="s">
        <v>2429</v>
      </c>
      <c r="D144" t="b">
        <v>0</v>
      </c>
      <c r="F144" s="14">
        <v>2900000</v>
      </c>
      <c r="G144" s="15">
        <f ca="1">TODAY()+175</f>
        <v>44396</v>
      </c>
    </row>
    <row r="145" spans="1:7" x14ac:dyDescent="0.2">
      <c r="A145" s="12" t="s">
        <v>2348</v>
      </c>
      <c r="B145" t="s">
        <v>2349</v>
      </c>
      <c r="C145" t="s">
        <v>2350</v>
      </c>
      <c r="D145" t="b">
        <v>1</v>
      </c>
      <c r="F145" s="14"/>
      <c r="G145" s="15"/>
    </row>
    <row r="146" spans="1:7" x14ac:dyDescent="0.2">
      <c r="A146" s="12" t="s">
        <v>3021</v>
      </c>
      <c r="B146" t="s">
        <v>2393</v>
      </c>
      <c r="C146" t="s">
        <v>2394</v>
      </c>
      <c r="D146" t="b">
        <v>0</v>
      </c>
      <c r="F146" s="14"/>
      <c r="G146" s="15"/>
    </row>
    <row r="147" spans="1:7" x14ac:dyDescent="0.2">
      <c r="A147" s="12" t="s">
        <v>3250</v>
      </c>
      <c r="B147" t="s">
        <v>2761</v>
      </c>
      <c r="C147" t="s">
        <v>2762</v>
      </c>
      <c r="D147" t="b">
        <v>0</v>
      </c>
      <c r="F147" s="14">
        <v>1000000</v>
      </c>
      <c r="G147" s="15">
        <f ca="1">TODAY()+63</f>
        <v>44284</v>
      </c>
    </row>
    <row r="148" spans="1:7" x14ac:dyDescent="0.2">
      <c r="A148" s="12" t="s">
        <v>2573</v>
      </c>
      <c r="B148" t="s">
        <v>2574</v>
      </c>
      <c r="C148" t="s">
        <v>2575</v>
      </c>
      <c r="D148" t="b">
        <v>0</v>
      </c>
      <c r="F148" s="14"/>
      <c r="G148" s="15"/>
    </row>
    <row r="149" spans="1:7" x14ac:dyDescent="0.2">
      <c r="A149" s="12" t="s">
        <v>3272</v>
      </c>
      <c r="B149" t="s">
        <v>2813</v>
      </c>
      <c r="C149" t="s">
        <v>2322</v>
      </c>
      <c r="D149" t="b">
        <v>0</v>
      </c>
      <c r="F149" s="14"/>
      <c r="G149" s="15"/>
    </row>
    <row r="150" spans="1:7" x14ac:dyDescent="0.2">
      <c r="A150" s="12" t="s">
        <v>3087</v>
      </c>
      <c r="B150" t="s">
        <v>2389</v>
      </c>
      <c r="C150" t="s">
        <v>2605</v>
      </c>
      <c r="D150" t="b">
        <v>0</v>
      </c>
      <c r="F150" s="14"/>
      <c r="G150" s="15"/>
    </row>
    <row r="151" spans="1:7" x14ac:dyDescent="0.2">
      <c r="A151" s="12" t="s">
        <v>3281</v>
      </c>
      <c r="B151" t="s">
        <v>2848</v>
      </c>
      <c r="C151" t="s">
        <v>2849</v>
      </c>
      <c r="D151" t="b">
        <v>1</v>
      </c>
      <c r="F151" s="14"/>
      <c r="G151" s="15"/>
    </row>
    <row r="152" spans="1:7" x14ac:dyDescent="0.2">
      <c r="A152" s="12" t="s">
        <v>3202</v>
      </c>
      <c r="B152" t="s">
        <v>2656</v>
      </c>
      <c r="C152" t="s">
        <v>2339</v>
      </c>
      <c r="D152" t="b">
        <v>1</v>
      </c>
      <c r="F152" s="14">
        <v>4600000</v>
      </c>
      <c r="G152" s="15">
        <f ca="1">TODAY()+245</f>
        <v>44466</v>
      </c>
    </row>
    <row r="153" spans="1:7" x14ac:dyDescent="0.2">
      <c r="A153" s="12" t="s">
        <v>3211</v>
      </c>
      <c r="B153" t="s">
        <v>2674</v>
      </c>
      <c r="C153" t="s">
        <v>2347</v>
      </c>
      <c r="D153" t="b">
        <v>0</v>
      </c>
      <c r="F153" s="14"/>
      <c r="G153" s="15"/>
    </row>
    <row r="154" spans="1:7" x14ac:dyDescent="0.2">
      <c r="A154" s="12" t="s">
        <v>2641</v>
      </c>
      <c r="B154" t="s">
        <v>2642</v>
      </c>
      <c r="C154" t="s">
        <v>2555</v>
      </c>
      <c r="D154" t="b">
        <v>0</v>
      </c>
      <c r="F154" s="14"/>
      <c r="G154" s="15"/>
    </row>
    <row r="155" spans="1:7" x14ac:dyDescent="0.2">
      <c r="A155" s="12" t="s">
        <v>3072</v>
      </c>
      <c r="B155" t="s">
        <v>2724</v>
      </c>
      <c r="C155" t="s">
        <v>2873</v>
      </c>
      <c r="D155" t="b">
        <v>0</v>
      </c>
      <c r="F155" s="14"/>
      <c r="G155" s="15"/>
    </row>
    <row r="156" spans="1:7" x14ac:dyDescent="0.2">
      <c r="A156" s="12" t="s">
        <v>3070</v>
      </c>
      <c r="B156" t="s">
        <v>2861</v>
      </c>
      <c r="C156" t="s">
        <v>2862</v>
      </c>
      <c r="D156" t="b">
        <v>0</v>
      </c>
      <c r="F156" s="14">
        <v>4600000</v>
      </c>
      <c r="G156" s="15">
        <f ca="1">TODAY()+271</f>
        <v>44492</v>
      </c>
    </row>
    <row r="157" spans="1:7" x14ac:dyDescent="0.2">
      <c r="A157" s="12" t="s">
        <v>3258</v>
      </c>
      <c r="B157" t="s">
        <v>2781</v>
      </c>
      <c r="C157" t="s">
        <v>2376</v>
      </c>
      <c r="D157" t="b">
        <v>0</v>
      </c>
      <c r="F157" s="14">
        <v>2000000</v>
      </c>
      <c r="G157" s="15">
        <f ca="1">TODAY()+221</f>
        <v>44442</v>
      </c>
    </row>
    <row r="158" spans="1:7" x14ac:dyDescent="0.2">
      <c r="A158" s="12" t="s">
        <v>3220</v>
      </c>
      <c r="B158" t="s">
        <v>2692</v>
      </c>
      <c r="C158" t="s">
        <v>2693</v>
      </c>
      <c r="D158" t="b">
        <v>0</v>
      </c>
      <c r="F158" s="14"/>
      <c r="G158" s="15"/>
    </row>
    <row r="159" spans="1:7" x14ac:dyDescent="0.2">
      <c r="A159" s="12" t="s">
        <v>3123</v>
      </c>
      <c r="B159" t="s">
        <v>2391</v>
      </c>
      <c r="C159" t="s">
        <v>2392</v>
      </c>
      <c r="D159" t="b">
        <v>0</v>
      </c>
      <c r="E159" t="s">
        <v>2356</v>
      </c>
      <c r="F159" s="14"/>
      <c r="G159" s="15"/>
    </row>
    <row r="160" spans="1:7" x14ac:dyDescent="0.2">
      <c r="A160" s="12" t="s">
        <v>3010</v>
      </c>
      <c r="B160" t="s">
        <v>3011</v>
      </c>
      <c r="C160" t="s">
        <v>2864</v>
      </c>
      <c r="D160" t="b">
        <v>1</v>
      </c>
      <c r="F160" s="14">
        <v>1900000</v>
      </c>
      <c r="G160" s="15">
        <f ca="1">TODAY()+226</f>
        <v>44447</v>
      </c>
    </row>
    <row r="161" spans="1:7" x14ac:dyDescent="0.2">
      <c r="A161" s="12" t="s">
        <v>3350</v>
      </c>
      <c r="B161" t="s">
        <v>2821</v>
      </c>
      <c r="C161" t="s">
        <v>2416</v>
      </c>
      <c r="D161" t="b">
        <v>0</v>
      </c>
      <c r="F161" s="14">
        <v>400000</v>
      </c>
      <c r="G161" s="15">
        <f ca="1">TODAY()+76</f>
        <v>44297</v>
      </c>
    </row>
    <row r="162" spans="1:7" x14ac:dyDescent="0.2">
      <c r="A162" s="12" t="s">
        <v>3341</v>
      </c>
      <c r="B162" t="s">
        <v>2962</v>
      </c>
      <c r="C162" t="s">
        <v>2362</v>
      </c>
      <c r="D162" t="b">
        <v>0</v>
      </c>
      <c r="F162" s="14">
        <v>1300000</v>
      </c>
      <c r="G162" s="15">
        <f ca="1">TODAY()+246</f>
        <v>44467</v>
      </c>
    </row>
    <row r="163" spans="1:7" x14ac:dyDescent="0.2">
      <c r="A163" s="12" t="s">
        <v>2789</v>
      </c>
      <c r="B163" t="s">
        <v>2790</v>
      </c>
      <c r="C163" t="s">
        <v>2558</v>
      </c>
      <c r="D163" t="b">
        <v>1</v>
      </c>
      <c r="E163" t="s">
        <v>2356</v>
      </c>
      <c r="F163" s="14"/>
      <c r="G163" s="15"/>
    </row>
    <row r="164" spans="1:7" x14ac:dyDescent="0.2">
      <c r="A164" s="12" t="s">
        <v>3107</v>
      </c>
      <c r="B164" t="s">
        <v>2329</v>
      </c>
      <c r="C164" t="s">
        <v>2330</v>
      </c>
      <c r="D164" t="b">
        <v>0</v>
      </c>
      <c r="F164" s="14">
        <v>1200000</v>
      </c>
      <c r="G164" s="15">
        <f ca="1">TODAY()+165</f>
        <v>44386</v>
      </c>
    </row>
    <row r="165" spans="1:7" x14ac:dyDescent="0.2">
      <c r="A165" s="12" t="s">
        <v>3273</v>
      </c>
      <c r="B165" t="s">
        <v>2548</v>
      </c>
      <c r="C165" t="s">
        <v>2825</v>
      </c>
      <c r="D165" t="b">
        <v>0</v>
      </c>
      <c r="F165" s="14">
        <v>3000000</v>
      </c>
      <c r="G165" s="15">
        <f ca="1">TODAY()+335</f>
        <v>44556</v>
      </c>
    </row>
    <row r="166" spans="1:7" x14ac:dyDescent="0.2">
      <c r="A166" s="12" t="s">
        <v>3312</v>
      </c>
      <c r="B166" t="s">
        <v>2922</v>
      </c>
      <c r="C166" t="s">
        <v>2603</v>
      </c>
      <c r="D166" t="b">
        <v>0</v>
      </c>
      <c r="F166" s="14">
        <v>1700000</v>
      </c>
      <c r="G166" s="15">
        <f ca="1">TODAY()+95</f>
        <v>44316</v>
      </c>
    </row>
    <row r="167" spans="1:7" x14ac:dyDescent="0.2">
      <c r="A167" s="12" t="s">
        <v>2786</v>
      </c>
      <c r="B167" t="s">
        <v>2787</v>
      </c>
      <c r="C167" t="s">
        <v>2788</v>
      </c>
      <c r="D167" t="b">
        <v>1</v>
      </c>
      <c r="F167" s="14"/>
      <c r="G167" s="15"/>
    </row>
    <row r="168" spans="1:7" x14ac:dyDescent="0.2">
      <c r="A168" s="12" t="s">
        <v>2970</v>
      </c>
      <c r="B168" t="s">
        <v>2592</v>
      </c>
      <c r="C168" t="s">
        <v>2635</v>
      </c>
      <c r="D168" t="b">
        <v>0</v>
      </c>
      <c r="F168" s="14"/>
      <c r="G168" s="15"/>
    </row>
    <row r="169" spans="1:7" x14ac:dyDescent="0.2">
      <c r="A169" s="12" t="s">
        <v>3134</v>
      </c>
      <c r="B169" t="s">
        <v>2323</v>
      </c>
      <c r="C169" t="s">
        <v>2432</v>
      </c>
      <c r="D169" t="b">
        <v>0</v>
      </c>
      <c r="F169" s="14">
        <v>400000</v>
      </c>
      <c r="G169" s="15">
        <f ca="1">TODAY()+254</f>
        <v>44475</v>
      </c>
    </row>
    <row r="170" spans="1:7" x14ac:dyDescent="0.2">
      <c r="A170" s="12" t="s">
        <v>2738</v>
      </c>
      <c r="B170" t="s">
        <v>2739</v>
      </c>
      <c r="C170" t="s">
        <v>2429</v>
      </c>
      <c r="D170" t="b">
        <v>0</v>
      </c>
      <c r="F170" s="14"/>
      <c r="G170" s="15"/>
    </row>
    <row r="171" spans="1:7" x14ac:dyDescent="0.2">
      <c r="A171" s="12" t="s">
        <v>3122</v>
      </c>
      <c r="B171" t="s">
        <v>2389</v>
      </c>
      <c r="C171" t="s">
        <v>2390</v>
      </c>
      <c r="D171" t="b">
        <v>0</v>
      </c>
      <c r="F171" s="14">
        <v>3500000</v>
      </c>
      <c r="G171" s="15">
        <f ca="1">TODAY()+170</f>
        <v>44391</v>
      </c>
    </row>
    <row r="172" spans="1:7" x14ac:dyDescent="0.2">
      <c r="A172" s="12" t="s">
        <v>2905</v>
      </c>
      <c r="B172" t="s">
        <v>2716</v>
      </c>
      <c r="C172" t="s">
        <v>2708</v>
      </c>
      <c r="D172" t="b">
        <v>1</v>
      </c>
      <c r="F172" s="14"/>
      <c r="G172" s="15"/>
    </row>
    <row r="173" spans="1:7" x14ac:dyDescent="0.2">
      <c r="A173" s="12" t="s">
        <v>3188</v>
      </c>
      <c r="B173" t="s">
        <v>2623</v>
      </c>
      <c r="C173" t="s">
        <v>2624</v>
      </c>
      <c r="D173" t="b">
        <v>0</v>
      </c>
      <c r="F173" s="14"/>
      <c r="G173" s="15"/>
    </row>
    <row r="174" spans="1:7" x14ac:dyDescent="0.2">
      <c r="A174" s="12" t="s">
        <v>3249</v>
      </c>
      <c r="B174" t="s">
        <v>2632</v>
      </c>
      <c r="C174" t="s">
        <v>2680</v>
      </c>
      <c r="D174" t="b">
        <v>0</v>
      </c>
      <c r="F174" s="14">
        <v>4100000</v>
      </c>
      <c r="G174" s="15">
        <f ca="1">TODAY()+100</f>
        <v>44321</v>
      </c>
    </row>
    <row r="175" spans="1:7" x14ac:dyDescent="0.2">
      <c r="A175" s="12" t="s">
        <v>2791</v>
      </c>
      <c r="B175" t="s">
        <v>2419</v>
      </c>
      <c r="C175" t="s">
        <v>2541</v>
      </c>
      <c r="D175" t="b">
        <v>0</v>
      </c>
      <c r="F175" s="14">
        <v>900000</v>
      </c>
      <c r="G175" s="15">
        <f ca="1">TODAY()+110</f>
        <v>44331</v>
      </c>
    </row>
    <row r="176" spans="1:7" x14ac:dyDescent="0.2">
      <c r="A176" s="12" t="s">
        <v>3336</v>
      </c>
      <c r="B176" t="s">
        <v>2454</v>
      </c>
      <c r="C176" t="s">
        <v>2955</v>
      </c>
      <c r="D176" t="b">
        <v>0</v>
      </c>
      <c r="F176" s="14">
        <v>3900000</v>
      </c>
      <c r="G176" s="15">
        <f ca="1">TODAY()+93</f>
        <v>44314</v>
      </c>
    </row>
    <row r="177" spans="1:7" x14ac:dyDescent="0.2">
      <c r="A177" s="12" t="s">
        <v>3038</v>
      </c>
      <c r="B177" t="s">
        <v>2564</v>
      </c>
      <c r="C177" t="s">
        <v>2608</v>
      </c>
      <c r="D177" t="b">
        <v>1</v>
      </c>
      <c r="F177" s="14"/>
      <c r="G177" s="15"/>
    </row>
    <row r="178" spans="1:7" x14ac:dyDescent="0.2">
      <c r="A178" s="12" t="s">
        <v>3036</v>
      </c>
      <c r="B178" t="s">
        <v>2757</v>
      </c>
      <c r="C178" t="s">
        <v>2758</v>
      </c>
      <c r="D178" t="b">
        <v>0</v>
      </c>
      <c r="F178" s="14">
        <v>1000000</v>
      </c>
      <c r="G178" s="15">
        <f ca="1">TODAY()+196</f>
        <v>44417</v>
      </c>
    </row>
    <row r="179" spans="1:7" x14ac:dyDescent="0.2">
      <c r="A179" s="12" t="s">
        <v>3290</v>
      </c>
      <c r="B179" t="s">
        <v>2874</v>
      </c>
      <c r="C179" t="s">
        <v>2875</v>
      </c>
      <c r="D179" t="b">
        <v>0</v>
      </c>
      <c r="F179" s="14">
        <v>2900000</v>
      </c>
      <c r="G179" s="15">
        <f ca="1">TODAY()+314</f>
        <v>44535</v>
      </c>
    </row>
    <row r="180" spans="1:7" x14ac:dyDescent="0.2">
      <c r="A180" s="12" t="s">
        <v>2867</v>
      </c>
      <c r="B180" t="s">
        <v>2933</v>
      </c>
      <c r="C180" t="s">
        <v>2476</v>
      </c>
      <c r="D180" t="b">
        <v>0</v>
      </c>
      <c r="F180" s="14"/>
      <c r="G180" s="15"/>
    </row>
    <row r="181" spans="1:7" x14ac:dyDescent="0.2">
      <c r="A181" s="12" t="s">
        <v>3115</v>
      </c>
      <c r="B181" t="s">
        <v>2353</v>
      </c>
      <c r="C181" t="s">
        <v>2354</v>
      </c>
      <c r="D181" t="b">
        <v>0</v>
      </c>
      <c r="F181" s="14">
        <v>2200000</v>
      </c>
      <c r="G181" s="15">
        <f ca="1">TODAY()+345</f>
        <v>44566</v>
      </c>
    </row>
    <row r="182" spans="1:7" x14ac:dyDescent="0.2">
      <c r="A182" s="12" t="s">
        <v>3228</v>
      </c>
      <c r="B182" t="s">
        <v>2707</v>
      </c>
      <c r="C182" t="s">
        <v>2708</v>
      </c>
      <c r="D182" t="b">
        <v>1</v>
      </c>
      <c r="F182" s="14"/>
      <c r="G182" s="15"/>
    </row>
    <row r="183" spans="1:7" x14ac:dyDescent="0.2">
      <c r="A183" s="12" t="s">
        <v>2634</v>
      </c>
      <c r="B183" t="s">
        <v>2405</v>
      </c>
      <c r="C183" t="s">
        <v>2635</v>
      </c>
      <c r="D183" t="b">
        <v>0</v>
      </c>
      <c r="F183" s="14"/>
      <c r="G183" s="15"/>
    </row>
    <row r="184" spans="1:7" x14ac:dyDescent="0.2">
      <c r="A184" s="12" t="s">
        <v>3060</v>
      </c>
      <c r="B184" t="s">
        <v>2771</v>
      </c>
      <c r="C184" t="s">
        <v>2772</v>
      </c>
      <c r="D184" t="b">
        <v>0</v>
      </c>
      <c r="F184" s="14">
        <v>1600000</v>
      </c>
      <c r="G184" s="15">
        <f ca="1">TODAY()+322</f>
        <v>44543</v>
      </c>
    </row>
    <row r="185" spans="1:7" x14ac:dyDescent="0.2">
      <c r="A185" s="12" t="s">
        <v>2418</v>
      </c>
      <c r="B185" t="s">
        <v>2419</v>
      </c>
      <c r="C185" t="s">
        <v>2420</v>
      </c>
      <c r="D185" t="b">
        <v>1</v>
      </c>
      <c r="F185" s="14"/>
      <c r="G185" s="15"/>
    </row>
    <row r="186" spans="1:7" x14ac:dyDescent="0.2">
      <c r="A186" s="12" t="s">
        <v>3178</v>
      </c>
      <c r="B186" t="s">
        <v>2846</v>
      </c>
      <c r="C186" t="s">
        <v>2847</v>
      </c>
      <c r="D186" t="b">
        <v>0</v>
      </c>
      <c r="F186" s="14"/>
      <c r="G186" s="15"/>
    </row>
    <row r="187" spans="1:7" x14ac:dyDescent="0.2">
      <c r="A187" s="12" t="s">
        <v>2945</v>
      </c>
      <c r="B187" t="s">
        <v>2512</v>
      </c>
      <c r="C187" t="s">
        <v>2547</v>
      </c>
      <c r="D187" t="b">
        <v>0</v>
      </c>
      <c r="F187" s="14">
        <v>1200000</v>
      </c>
      <c r="G187" s="15">
        <f ca="1">TODAY()+136</f>
        <v>44357</v>
      </c>
    </row>
    <row r="188" spans="1:7" x14ac:dyDescent="0.2">
      <c r="A188" s="12" t="s">
        <v>3306</v>
      </c>
      <c r="B188" t="s">
        <v>2562</v>
      </c>
      <c r="C188" t="s">
        <v>2912</v>
      </c>
      <c r="D188" t="b">
        <v>1</v>
      </c>
      <c r="F188" s="14"/>
      <c r="G188" s="15"/>
    </row>
    <row r="189" spans="1:7" x14ac:dyDescent="0.2">
      <c r="A189" s="12" t="s">
        <v>3292</v>
      </c>
      <c r="B189" t="s">
        <v>2882</v>
      </c>
      <c r="C189" t="s">
        <v>2485</v>
      </c>
      <c r="D189" t="b">
        <v>0</v>
      </c>
      <c r="F189" s="14">
        <v>4800000</v>
      </c>
      <c r="G189" s="15">
        <f ca="1">TODAY()+350</f>
        <v>44571</v>
      </c>
    </row>
    <row r="190" spans="1:7" x14ac:dyDescent="0.2">
      <c r="A190" s="12" t="s">
        <v>3299</v>
      </c>
      <c r="B190" t="s">
        <v>2896</v>
      </c>
      <c r="C190" t="s">
        <v>2897</v>
      </c>
      <c r="D190" t="b">
        <v>1</v>
      </c>
      <c r="F190" s="14"/>
      <c r="G190" s="15"/>
    </row>
    <row r="191" spans="1:7" x14ac:dyDescent="0.2">
      <c r="A191" s="12" t="s">
        <v>3033</v>
      </c>
      <c r="B191" t="s">
        <v>2525</v>
      </c>
      <c r="C191" t="s">
        <v>2526</v>
      </c>
      <c r="D191" t="b">
        <v>1</v>
      </c>
      <c r="F191" s="14"/>
      <c r="G191" s="15"/>
    </row>
    <row r="192" spans="1:7" x14ac:dyDescent="0.2">
      <c r="A192" s="12" t="s">
        <v>3197</v>
      </c>
      <c r="B192" t="s">
        <v>2775</v>
      </c>
      <c r="C192" t="s">
        <v>2329</v>
      </c>
      <c r="D192" t="b">
        <v>0</v>
      </c>
      <c r="F192" s="14"/>
      <c r="G192" s="15"/>
    </row>
    <row r="193" spans="1:7" x14ac:dyDescent="0.2">
      <c r="A193" s="12" t="s">
        <v>3103</v>
      </c>
      <c r="B193" t="s">
        <v>2317</v>
      </c>
      <c r="C193" t="s">
        <v>2318</v>
      </c>
      <c r="D193" t="b">
        <v>0</v>
      </c>
      <c r="F193" s="14">
        <v>1800000</v>
      </c>
      <c r="G193" s="15">
        <f ca="1">TODAY()+193</f>
        <v>44414</v>
      </c>
    </row>
    <row r="194" spans="1:7" x14ac:dyDescent="0.2">
      <c r="A194" s="12" t="s">
        <v>3024</v>
      </c>
      <c r="B194" t="s">
        <v>2365</v>
      </c>
      <c r="C194" t="s">
        <v>2416</v>
      </c>
      <c r="D194" t="b">
        <v>0</v>
      </c>
      <c r="F194" s="14"/>
      <c r="G194" s="15"/>
    </row>
    <row r="195" spans="1:7" x14ac:dyDescent="0.2">
      <c r="A195" s="12" t="s">
        <v>3017</v>
      </c>
      <c r="B195" t="s">
        <v>2365</v>
      </c>
      <c r="C195" t="s">
        <v>2366</v>
      </c>
      <c r="D195" t="b">
        <v>1</v>
      </c>
      <c r="F195" s="14">
        <v>4500000</v>
      </c>
      <c r="G195" s="15">
        <f ca="1">TODAY()+207</f>
        <v>44428</v>
      </c>
    </row>
    <row r="196" spans="1:7" x14ac:dyDescent="0.2">
      <c r="A196" s="12" t="s">
        <v>3144</v>
      </c>
      <c r="B196" t="s">
        <v>2493</v>
      </c>
      <c r="C196" t="s">
        <v>2324</v>
      </c>
      <c r="D196" t="b">
        <v>0</v>
      </c>
      <c r="F196" s="14">
        <v>3700000</v>
      </c>
      <c r="G196" s="15">
        <f ca="1">TODAY()+73</f>
        <v>44294</v>
      </c>
    </row>
    <row r="197" spans="1:7" x14ac:dyDescent="0.2">
      <c r="A197" s="12" t="s">
        <v>3026</v>
      </c>
      <c r="B197" t="s">
        <v>2425</v>
      </c>
      <c r="C197" t="s">
        <v>2426</v>
      </c>
      <c r="D197" t="b">
        <v>0</v>
      </c>
      <c r="F197" s="14"/>
      <c r="G197" s="15"/>
    </row>
    <row r="198" spans="1:7" x14ac:dyDescent="0.2">
      <c r="A198" s="12" t="s">
        <v>2450</v>
      </c>
      <c r="B198" t="s">
        <v>2451</v>
      </c>
      <c r="C198" t="s">
        <v>2452</v>
      </c>
      <c r="D198" t="b">
        <v>0</v>
      </c>
      <c r="F198" s="14">
        <v>4900000</v>
      </c>
      <c r="G198" s="15">
        <f ca="1">TODAY()+311</f>
        <v>44532</v>
      </c>
    </row>
    <row r="199" spans="1:7" x14ac:dyDescent="0.2">
      <c r="A199" s="12" t="s">
        <v>3041</v>
      </c>
      <c r="B199" t="s">
        <v>2617</v>
      </c>
      <c r="C199" t="s">
        <v>2618</v>
      </c>
      <c r="D199" t="b">
        <v>0</v>
      </c>
      <c r="F199" s="14"/>
      <c r="G199" s="15"/>
    </row>
    <row r="200" spans="1:7" x14ac:dyDescent="0.2">
      <c r="A200" s="12" t="s">
        <v>3334</v>
      </c>
      <c r="B200" t="s">
        <v>2895</v>
      </c>
      <c r="C200" t="s">
        <v>2482</v>
      </c>
      <c r="D200" t="b">
        <v>0</v>
      </c>
      <c r="F200" s="14">
        <v>4300000</v>
      </c>
      <c r="G200" s="15">
        <f ca="1">TODAY()+97</f>
        <v>44318</v>
      </c>
    </row>
    <row r="201" spans="1:7" x14ac:dyDescent="0.2">
      <c r="A201" s="12" t="s">
        <v>3294</v>
      </c>
      <c r="B201" t="s">
        <v>2886</v>
      </c>
      <c r="C201" t="s">
        <v>2887</v>
      </c>
      <c r="D201" t="b">
        <v>0</v>
      </c>
      <c r="F201" s="14">
        <v>1300000</v>
      </c>
      <c r="G201" s="15">
        <f ca="1">TODAY()+168</f>
        <v>44389</v>
      </c>
    </row>
    <row r="202" spans="1:7" x14ac:dyDescent="0.2">
      <c r="A202" s="12" t="s">
        <v>3256</v>
      </c>
      <c r="B202" t="s">
        <v>2568</v>
      </c>
      <c r="C202" t="s">
        <v>2622</v>
      </c>
      <c r="D202" t="b">
        <v>0</v>
      </c>
      <c r="F202" s="14"/>
      <c r="G202" s="15"/>
    </row>
    <row r="203" spans="1:7" x14ac:dyDescent="0.2">
      <c r="A203" s="12" t="s">
        <v>2953</v>
      </c>
      <c r="B203" t="s">
        <v>2625</v>
      </c>
      <c r="C203" t="s">
        <v>2705</v>
      </c>
      <c r="D203" t="b">
        <v>0</v>
      </c>
      <c r="F203" s="14"/>
      <c r="G203" s="15"/>
    </row>
    <row r="204" spans="1:7" x14ac:dyDescent="0.2">
      <c r="A204" s="12" t="s">
        <v>3059</v>
      </c>
      <c r="B204" t="s">
        <v>2761</v>
      </c>
      <c r="C204" t="s">
        <v>2372</v>
      </c>
      <c r="D204" t="b">
        <v>0</v>
      </c>
      <c r="F204" s="14"/>
      <c r="G204" s="15"/>
    </row>
    <row r="205" spans="1:7" x14ac:dyDescent="0.2">
      <c r="A205" s="12" t="s">
        <v>3113</v>
      </c>
      <c r="B205" t="s">
        <v>2346</v>
      </c>
      <c r="C205" t="s">
        <v>2347</v>
      </c>
      <c r="D205" t="b">
        <v>1</v>
      </c>
      <c r="F205" s="14"/>
      <c r="G205" s="15"/>
    </row>
    <row r="206" spans="1:7" x14ac:dyDescent="0.2">
      <c r="A206" s="12" t="s">
        <v>3233</v>
      </c>
      <c r="B206" t="s">
        <v>2729</v>
      </c>
      <c r="C206" t="s">
        <v>2622</v>
      </c>
      <c r="D206" t="b">
        <v>0</v>
      </c>
      <c r="F206" s="14">
        <v>800000</v>
      </c>
      <c r="G206" s="15">
        <f ca="1">TODAY()+119</f>
        <v>44340</v>
      </c>
    </row>
    <row r="207" spans="1:7" x14ac:dyDescent="0.2">
      <c r="A207" s="12" t="s">
        <v>3147</v>
      </c>
      <c r="B207" t="s">
        <v>2501</v>
      </c>
      <c r="C207" t="s">
        <v>2378</v>
      </c>
      <c r="D207" t="b">
        <v>0</v>
      </c>
      <c r="F207" s="14"/>
      <c r="G207" s="15"/>
    </row>
    <row r="208" spans="1:7" x14ac:dyDescent="0.2">
      <c r="A208" s="12" t="s">
        <v>2858</v>
      </c>
      <c r="B208" t="s">
        <v>2859</v>
      </c>
      <c r="C208" t="s">
        <v>2772</v>
      </c>
      <c r="D208" t="b">
        <v>0</v>
      </c>
      <c r="F208" s="14">
        <v>3700000</v>
      </c>
      <c r="G208" s="15">
        <f ca="1">TODAY()+199</f>
        <v>44420</v>
      </c>
    </row>
    <row r="209" spans="1:7" x14ac:dyDescent="0.2">
      <c r="A209" s="12" t="s">
        <v>2461</v>
      </c>
      <c r="B209" t="s">
        <v>2462</v>
      </c>
      <c r="C209" t="s">
        <v>2463</v>
      </c>
      <c r="D209" t="b">
        <v>0</v>
      </c>
      <c r="F209" s="14"/>
      <c r="G209" s="15"/>
    </row>
    <row r="210" spans="1:7" x14ac:dyDescent="0.2">
      <c r="A210" s="12" t="s">
        <v>3206</v>
      </c>
      <c r="B210" t="s">
        <v>2662</v>
      </c>
      <c r="C210" t="s">
        <v>2347</v>
      </c>
      <c r="D210" t="b">
        <v>0</v>
      </c>
      <c r="F210" s="14"/>
      <c r="G210" s="15"/>
    </row>
    <row r="211" spans="1:7" x14ac:dyDescent="0.2">
      <c r="A211" s="12" t="s">
        <v>2654</v>
      </c>
      <c r="B211" t="s">
        <v>2491</v>
      </c>
      <c r="C211" t="s">
        <v>2655</v>
      </c>
      <c r="D211" t="b">
        <v>0</v>
      </c>
      <c r="F211" s="14"/>
      <c r="G211" s="15"/>
    </row>
    <row r="212" spans="1:7" x14ac:dyDescent="0.2">
      <c r="A212" s="12" t="s">
        <v>2792</v>
      </c>
      <c r="B212" t="s">
        <v>2497</v>
      </c>
      <c r="C212" t="s">
        <v>2429</v>
      </c>
      <c r="D212" t="b">
        <v>0</v>
      </c>
      <c r="F212" s="14">
        <v>2100000</v>
      </c>
      <c r="G212" s="15">
        <f ca="1">TODAY()+166</f>
        <v>44387</v>
      </c>
    </row>
    <row r="213" spans="1:7" x14ac:dyDescent="0.2">
      <c r="A213" s="12" t="s">
        <v>2826</v>
      </c>
      <c r="B213" t="s">
        <v>2358</v>
      </c>
      <c r="C213" t="s">
        <v>2359</v>
      </c>
      <c r="D213" t="b">
        <v>0</v>
      </c>
      <c r="F213" s="14"/>
      <c r="G213" s="15"/>
    </row>
    <row r="214" spans="1:7" x14ac:dyDescent="0.2">
      <c r="A214" s="12" t="s">
        <v>3310</v>
      </c>
      <c r="B214" t="s">
        <v>2918</v>
      </c>
      <c r="C214" t="s">
        <v>2919</v>
      </c>
      <c r="D214" t="b">
        <v>1</v>
      </c>
      <c r="F214" s="14">
        <v>4900000</v>
      </c>
      <c r="G214" s="15">
        <f ca="1">TODAY()+256</f>
        <v>44477</v>
      </c>
    </row>
    <row r="215" spans="1:7" x14ac:dyDescent="0.2">
      <c r="A215" s="12" t="s">
        <v>3132</v>
      </c>
      <c r="B215" t="s">
        <v>2354</v>
      </c>
      <c r="C215" t="s">
        <v>2417</v>
      </c>
      <c r="D215" t="b">
        <v>1</v>
      </c>
      <c r="F215" s="14"/>
      <c r="G215" s="15"/>
    </row>
    <row r="216" spans="1:7" x14ac:dyDescent="0.2">
      <c r="A216" s="12" t="s">
        <v>3287</v>
      </c>
      <c r="B216" t="s">
        <v>2781</v>
      </c>
      <c r="C216" t="s">
        <v>2697</v>
      </c>
      <c r="D216" t="b">
        <v>0</v>
      </c>
      <c r="F216" s="14"/>
      <c r="G216" s="15"/>
    </row>
    <row r="217" spans="1:7" x14ac:dyDescent="0.2">
      <c r="A217" s="12" t="s">
        <v>3114</v>
      </c>
      <c r="B217" t="s">
        <v>2351</v>
      </c>
      <c r="C217" t="s">
        <v>2352</v>
      </c>
      <c r="D217" t="b">
        <v>0</v>
      </c>
      <c r="F217" s="14">
        <v>3000000</v>
      </c>
      <c r="G217" s="15">
        <f ca="1">TODAY()+186</f>
        <v>44407</v>
      </c>
    </row>
    <row r="218" spans="1:7" x14ac:dyDescent="0.2">
      <c r="A218" s="12" t="s">
        <v>3157</v>
      </c>
      <c r="B218" t="s">
        <v>2539</v>
      </c>
      <c r="C218" t="s">
        <v>2415</v>
      </c>
      <c r="D218" t="b">
        <v>0</v>
      </c>
      <c r="F218" s="14">
        <v>600000</v>
      </c>
      <c r="G218" s="15">
        <f ca="1">TODAY()+62</f>
        <v>44283</v>
      </c>
    </row>
    <row r="219" spans="1:7" x14ac:dyDescent="0.2">
      <c r="A219" s="12" t="s">
        <v>3234</v>
      </c>
      <c r="B219" t="s">
        <v>2361</v>
      </c>
      <c r="C219" t="s">
        <v>2731</v>
      </c>
      <c r="D219" t="b">
        <v>1</v>
      </c>
      <c r="F219" s="14"/>
      <c r="G219" s="15"/>
    </row>
    <row r="220" spans="1:7" x14ac:dyDescent="0.2">
      <c r="A220" s="12" t="s">
        <v>2561</v>
      </c>
      <c r="B220" t="s">
        <v>2358</v>
      </c>
      <c r="C220" t="s">
        <v>2526</v>
      </c>
      <c r="D220" t="b">
        <v>0</v>
      </c>
      <c r="F220" s="14">
        <v>4700000</v>
      </c>
      <c r="G220" s="15">
        <f ca="1">TODAY()+277</f>
        <v>44498</v>
      </c>
    </row>
    <row r="221" spans="1:7" x14ac:dyDescent="0.2">
      <c r="A221" s="12" t="s">
        <v>3016</v>
      </c>
      <c r="B221" t="s">
        <v>2325</v>
      </c>
      <c r="C221" t="s">
        <v>2616</v>
      </c>
      <c r="D221" t="b">
        <v>0</v>
      </c>
      <c r="F221" s="14">
        <v>1200000</v>
      </c>
      <c r="G221" s="15">
        <f ca="1">TODAY()+311</f>
        <v>44532</v>
      </c>
    </row>
    <row r="222" spans="1:7" x14ac:dyDescent="0.2">
      <c r="A222" s="12" t="s">
        <v>2835</v>
      </c>
      <c r="B222" t="s">
        <v>2679</v>
      </c>
      <c r="C222" t="s">
        <v>2643</v>
      </c>
      <c r="D222" t="b">
        <v>0</v>
      </c>
      <c r="F222" s="14">
        <v>4500000</v>
      </c>
      <c r="G222" s="15">
        <f ca="1">TODAY()+218</f>
        <v>44439</v>
      </c>
    </row>
    <row r="223" spans="1:7" x14ac:dyDescent="0.2">
      <c r="A223" s="12" t="s">
        <v>3239</v>
      </c>
      <c r="B223" t="s">
        <v>2735</v>
      </c>
      <c r="C223" t="s">
        <v>2736</v>
      </c>
      <c r="D223" t="b">
        <v>1</v>
      </c>
      <c r="F223" s="14">
        <v>1400000</v>
      </c>
      <c r="G223" s="15">
        <f ca="1">TODAY()+126</f>
        <v>44347</v>
      </c>
    </row>
    <row r="224" spans="1:7" x14ac:dyDescent="0.2">
      <c r="A224" s="12" t="s">
        <v>2840</v>
      </c>
      <c r="B224" t="s">
        <v>2652</v>
      </c>
      <c r="C224" t="s">
        <v>2841</v>
      </c>
      <c r="D224" t="b">
        <v>0</v>
      </c>
      <c r="F224" s="14">
        <v>4700000</v>
      </c>
      <c r="G224" s="15">
        <f ca="1">TODAY()+344</f>
        <v>44565</v>
      </c>
    </row>
    <row r="225" spans="1:7" x14ac:dyDescent="0.2">
      <c r="A225" s="12" t="s">
        <v>2619</v>
      </c>
      <c r="B225" t="s">
        <v>2620</v>
      </c>
      <c r="C225" t="s">
        <v>2400</v>
      </c>
      <c r="D225" t="b">
        <v>0</v>
      </c>
      <c r="F225" s="14"/>
      <c r="G225" s="15"/>
    </row>
    <row r="226" spans="1:7" x14ac:dyDescent="0.2">
      <c r="A226" s="12" t="s">
        <v>3050</v>
      </c>
      <c r="B226" t="s">
        <v>2722</v>
      </c>
      <c r="C226" t="s">
        <v>2723</v>
      </c>
      <c r="D226" t="b">
        <v>0</v>
      </c>
      <c r="F226" s="14"/>
      <c r="G226" s="15"/>
    </row>
    <row r="227" spans="1:7" x14ac:dyDescent="0.2">
      <c r="A227" s="12" t="s">
        <v>3212</v>
      </c>
      <c r="B227" t="s">
        <v>2346</v>
      </c>
      <c r="C227" t="s">
        <v>2675</v>
      </c>
      <c r="D227" t="b">
        <v>1</v>
      </c>
      <c r="F227" s="14">
        <v>5000000</v>
      </c>
      <c r="G227" s="15">
        <f ca="1">TODAY()+295</f>
        <v>44516</v>
      </c>
    </row>
    <row r="228" spans="1:7" x14ac:dyDescent="0.2">
      <c r="A228" s="12" t="s">
        <v>2751</v>
      </c>
      <c r="B228" t="s">
        <v>2805</v>
      </c>
      <c r="C228" t="s">
        <v>2810</v>
      </c>
      <c r="D228" t="b">
        <v>0</v>
      </c>
      <c r="F228" s="14">
        <v>3900000</v>
      </c>
      <c r="G228" s="15">
        <f ca="1">TODAY()+162</f>
        <v>44383</v>
      </c>
    </row>
    <row r="229" spans="1:7" x14ac:dyDescent="0.2">
      <c r="A229" s="12" t="s">
        <v>3145</v>
      </c>
      <c r="B229" t="s">
        <v>2494</v>
      </c>
      <c r="C229" t="s">
        <v>2495</v>
      </c>
      <c r="D229" t="b">
        <v>1</v>
      </c>
      <c r="F229" s="14"/>
      <c r="G229" s="15"/>
    </row>
    <row r="230" spans="1:7" x14ac:dyDescent="0.2">
      <c r="A230" s="12" t="s">
        <v>2778</v>
      </c>
      <c r="B230" t="s">
        <v>2779</v>
      </c>
      <c r="C230" t="s">
        <v>2372</v>
      </c>
      <c r="D230" t="b">
        <v>0</v>
      </c>
      <c r="F230" s="14"/>
      <c r="G230" s="15"/>
    </row>
    <row r="231" spans="1:7" x14ac:dyDescent="0.2">
      <c r="A231" s="12" t="s">
        <v>3142</v>
      </c>
      <c r="B231" t="s">
        <v>2477</v>
      </c>
      <c r="C231" t="s">
        <v>2478</v>
      </c>
      <c r="D231" t="b">
        <v>0</v>
      </c>
      <c r="F231" s="14"/>
      <c r="G231" s="15"/>
    </row>
    <row r="232" spans="1:7" x14ac:dyDescent="0.2">
      <c r="A232" s="12" t="s">
        <v>2464</v>
      </c>
      <c r="B232" t="s">
        <v>2465</v>
      </c>
      <c r="C232" t="s">
        <v>2334</v>
      </c>
      <c r="D232" t="b">
        <v>0</v>
      </c>
      <c r="F232" s="14">
        <v>1400000</v>
      </c>
      <c r="G232" s="15">
        <f ca="1">TODAY()+297</f>
        <v>44518</v>
      </c>
    </row>
    <row r="233" spans="1:7" x14ac:dyDescent="0.2">
      <c r="A233" s="12" t="s">
        <v>3255</v>
      </c>
      <c r="B233" t="s">
        <v>2770</v>
      </c>
      <c r="C233" t="s">
        <v>2432</v>
      </c>
      <c r="D233" t="b">
        <v>0</v>
      </c>
      <c r="F233" s="14"/>
      <c r="G233" s="15"/>
    </row>
    <row r="234" spans="1:7" x14ac:dyDescent="0.2">
      <c r="A234" s="12" t="s">
        <v>3023</v>
      </c>
      <c r="B234" t="s">
        <v>2412</v>
      </c>
      <c r="C234" t="s">
        <v>2413</v>
      </c>
      <c r="D234" t="b">
        <v>0</v>
      </c>
      <c r="F234" s="14"/>
      <c r="G234" s="15"/>
    </row>
    <row r="235" spans="1:7" x14ac:dyDescent="0.2">
      <c r="A235" s="12" t="s">
        <v>3119</v>
      </c>
      <c r="B235" t="s">
        <v>2379</v>
      </c>
      <c r="C235" t="s">
        <v>2366</v>
      </c>
      <c r="D235" t="b">
        <v>1</v>
      </c>
      <c r="F235" s="14"/>
      <c r="G235" s="15"/>
    </row>
    <row r="236" spans="1:7" x14ac:dyDescent="0.2">
      <c r="A236" s="12" t="s">
        <v>3226</v>
      </c>
      <c r="B236" t="s">
        <v>2704</v>
      </c>
      <c r="C236" t="s">
        <v>2705</v>
      </c>
      <c r="D236" t="b">
        <v>0</v>
      </c>
      <c r="F236" s="14">
        <v>4300000</v>
      </c>
      <c r="G236" s="15">
        <f ca="1">TODAY()+216</f>
        <v>44437</v>
      </c>
    </row>
    <row r="237" spans="1:7" x14ac:dyDescent="0.2">
      <c r="A237" s="12" t="s">
        <v>3018</v>
      </c>
      <c r="B237" t="s">
        <v>2373</v>
      </c>
      <c r="C237" t="s">
        <v>2374</v>
      </c>
      <c r="D237" t="b">
        <v>0</v>
      </c>
      <c r="F237" s="14">
        <v>3500000</v>
      </c>
      <c r="G237" s="15">
        <f ca="1">TODAY()+275</f>
        <v>44496</v>
      </c>
    </row>
    <row r="238" spans="1:7" x14ac:dyDescent="0.2">
      <c r="A238" s="12" t="s">
        <v>2576</v>
      </c>
      <c r="B238" t="s">
        <v>2577</v>
      </c>
      <c r="C238" t="s">
        <v>2320</v>
      </c>
      <c r="D238" t="b">
        <v>0</v>
      </c>
      <c r="F238" s="14"/>
      <c r="G238" s="15"/>
    </row>
    <row r="239" spans="1:7" x14ac:dyDescent="0.2">
      <c r="A239" s="12" t="s">
        <v>3265</v>
      </c>
      <c r="B239" t="s">
        <v>2800</v>
      </c>
      <c r="C239" t="s">
        <v>2801</v>
      </c>
      <c r="D239" t="b">
        <v>0</v>
      </c>
      <c r="F239" s="14"/>
      <c r="G239" s="15"/>
    </row>
    <row r="240" spans="1:7" x14ac:dyDescent="0.2">
      <c r="A240" s="12" t="s">
        <v>2963</v>
      </c>
      <c r="B240" t="s">
        <v>2964</v>
      </c>
      <c r="C240" t="s">
        <v>2520</v>
      </c>
      <c r="D240" t="b">
        <v>1</v>
      </c>
      <c r="F240" s="14">
        <v>1300000</v>
      </c>
      <c r="G240" s="15">
        <f ca="1">TODAY()+200</f>
        <v>44421</v>
      </c>
    </row>
    <row r="241" spans="1:7" x14ac:dyDescent="0.2">
      <c r="A241" s="12" t="s">
        <v>3316</v>
      </c>
      <c r="B241" t="s">
        <v>2927</v>
      </c>
      <c r="C241" t="s">
        <v>2655</v>
      </c>
      <c r="D241" t="b">
        <v>0</v>
      </c>
      <c r="F241" s="14"/>
      <c r="G241" s="15"/>
    </row>
    <row r="242" spans="1:7" x14ac:dyDescent="0.2">
      <c r="A242" s="12" t="s">
        <v>3373</v>
      </c>
      <c r="B242" t="s">
        <v>2491</v>
      </c>
      <c r="C242" t="s">
        <v>2407</v>
      </c>
      <c r="D242" t="b">
        <v>0</v>
      </c>
      <c r="F242" s="14"/>
      <c r="G242" s="15"/>
    </row>
    <row r="243" spans="1:7" x14ac:dyDescent="0.2">
      <c r="A243" s="12" t="s">
        <v>3348</v>
      </c>
      <c r="B243" t="s">
        <v>2974</v>
      </c>
      <c r="C243" t="s">
        <v>2975</v>
      </c>
      <c r="D243" t="b">
        <v>1</v>
      </c>
      <c r="F243" s="14">
        <v>1500000</v>
      </c>
      <c r="G243" s="15">
        <f ca="1">TODAY()+65</f>
        <v>44286</v>
      </c>
    </row>
    <row r="244" spans="1:7" x14ac:dyDescent="0.2">
      <c r="A244" s="12" t="s">
        <v>3298</v>
      </c>
      <c r="B244" t="s">
        <v>2895</v>
      </c>
      <c r="C244" t="s">
        <v>2485</v>
      </c>
      <c r="D244" t="b">
        <v>0</v>
      </c>
      <c r="F244" s="14"/>
      <c r="G244" s="15"/>
    </row>
    <row r="245" spans="1:7" x14ac:dyDescent="0.2">
      <c r="A245" s="12" t="s">
        <v>3274</v>
      </c>
      <c r="B245" t="s">
        <v>2829</v>
      </c>
      <c r="C245" t="s">
        <v>2575</v>
      </c>
      <c r="D245" t="b">
        <v>1</v>
      </c>
      <c r="F245" s="14"/>
      <c r="G245" s="15"/>
    </row>
    <row r="246" spans="1:7" x14ac:dyDescent="0.2">
      <c r="A246" s="12" t="s">
        <v>3054</v>
      </c>
      <c r="B246" t="s">
        <v>2346</v>
      </c>
      <c r="C246" t="s">
        <v>2433</v>
      </c>
      <c r="D246" t="b">
        <v>0</v>
      </c>
      <c r="F246" s="14">
        <v>900000</v>
      </c>
      <c r="G246" s="15">
        <f ca="1">TODAY()+312</f>
        <v>44533</v>
      </c>
    </row>
    <row r="247" spans="1:7" x14ac:dyDescent="0.2">
      <c r="A247" s="12" t="s">
        <v>2596</v>
      </c>
      <c r="B247" t="s">
        <v>2597</v>
      </c>
      <c r="C247" t="s">
        <v>2598</v>
      </c>
      <c r="D247" t="b">
        <v>0</v>
      </c>
      <c r="F247" s="14"/>
      <c r="G247" s="15"/>
    </row>
    <row r="248" spans="1:7" x14ac:dyDescent="0.2">
      <c r="A248" s="12" t="s">
        <v>2385</v>
      </c>
      <c r="B248" t="s">
        <v>2386</v>
      </c>
      <c r="C248" t="s">
        <v>2354</v>
      </c>
      <c r="D248" t="b">
        <v>0</v>
      </c>
      <c r="F248" s="14"/>
      <c r="G248" s="15"/>
    </row>
    <row r="249" spans="1:7" x14ac:dyDescent="0.2">
      <c r="A249" s="12" t="s">
        <v>3331</v>
      </c>
      <c r="B249" t="s">
        <v>2946</v>
      </c>
      <c r="C249" t="s">
        <v>2682</v>
      </c>
      <c r="D249" t="b">
        <v>0</v>
      </c>
      <c r="F249" s="14">
        <v>1700000</v>
      </c>
      <c r="G249" s="15">
        <f ca="1">TODAY()+142</f>
        <v>44363</v>
      </c>
    </row>
    <row r="250" spans="1:7" x14ac:dyDescent="0.2">
      <c r="A250" s="12" t="s">
        <v>3044</v>
      </c>
      <c r="B250" t="s">
        <v>2689</v>
      </c>
      <c r="C250" t="s">
        <v>2685</v>
      </c>
      <c r="D250" t="b">
        <v>0</v>
      </c>
      <c r="F250" s="14"/>
      <c r="G250" s="15"/>
    </row>
    <row r="251" spans="1:7" x14ac:dyDescent="0.2">
      <c r="A251" s="12" t="s">
        <v>3245</v>
      </c>
      <c r="B251" t="s">
        <v>2749</v>
      </c>
      <c r="C251" t="s">
        <v>2750</v>
      </c>
      <c r="D251" t="b">
        <v>0</v>
      </c>
      <c r="F251" s="14"/>
      <c r="G251" s="15"/>
    </row>
    <row r="252" spans="1:7" x14ac:dyDescent="0.2">
      <c r="A252" s="12" t="s">
        <v>3361</v>
      </c>
      <c r="B252" t="s">
        <v>2568</v>
      </c>
      <c r="C252" t="s">
        <v>2341</v>
      </c>
      <c r="D252" t="b">
        <v>0</v>
      </c>
      <c r="F252" s="14"/>
      <c r="G252" s="15"/>
    </row>
    <row r="253" spans="1:7" x14ac:dyDescent="0.2">
      <c r="A253" s="12" t="s">
        <v>3091</v>
      </c>
      <c r="B253" t="s">
        <v>2589</v>
      </c>
      <c r="C253" t="s">
        <v>2585</v>
      </c>
      <c r="D253" t="b">
        <v>0</v>
      </c>
      <c r="F253" s="14">
        <v>4200000</v>
      </c>
      <c r="G253" s="15">
        <f ca="1">TODAY()+106</f>
        <v>44327</v>
      </c>
    </row>
    <row r="254" spans="1:7" x14ac:dyDescent="0.2">
      <c r="A254" s="12" t="s">
        <v>3102</v>
      </c>
      <c r="B254" t="s">
        <v>2806</v>
      </c>
      <c r="C254" t="s">
        <v>2602</v>
      </c>
      <c r="D254" t="b">
        <v>0</v>
      </c>
      <c r="F254" s="14">
        <v>1300000</v>
      </c>
      <c r="G254" s="15">
        <f ca="1">TODAY()+135</f>
        <v>44356</v>
      </c>
    </row>
    <row r="255" spans="1:7" x14ac:dyDescent="0.2">
      <c r="A255" s="12" t="s">
        <v>3302</v>
      </c>
      <c r="B255" t="s">
        <v>2902</v>
      </c>
      <c r="C255" t="s">
        <v>2903</v>
      </c>
      <c r="D255" t="b">
        <v>0</v>
      </c>
      <c r="F255" s="14">
        <v>100000</v>
      </c>
      <c r="G255" s="15">
        <f ca="1">TODAY()+302</f>
        <v>44523</v>
      </c>
    </row>
    <row r="256" spans="1:7" x14ac:dyDescent="0.2">
      <c r="A256" s="12" t="s">
        <v>3173</v>
      </c>
      <c r="B256" t="s">
        <v>2583</v>
      </c>
      <c r="C256" t="s">
        <v>2392</v>
      </c>
      <c r="D256" t="b">
        <v>0</v>
      </c>
      <c r="F256" s="14">
        <v>2100000</v>
      </c>
      <c r="G256" s="15">
        <f ca="1">TODAY()+159</f>
        <v>44380</v>
      </c>
    </row>
    <row r="257" spans="1:7" x14ac:dyDescent="0.2">
      <c r="A257" s="12" t="s">
        <v>3140</v>
      </c>
      <c r="B257" t="s">
        <v>2469</v>
      </c>
      <c r="C257" t="s">
        <v>2470</v>
      </c>
      <c r="D257" t="b">
        <v>0</v>
      </c>
      <c r="F257" s="14"/>
      <c r="G257" s="15"/>
    </row>
    <row r="258" spans="1:7" x14ac:dyDescent="0.2">
      <c r="A258" s="12" t="s">
        <v>3143</v>
      </c>
      <c r="B258" t="s">
        <v>2491</v>
      </c>
      <c r="C258" t="s">
        <v>2492</v>
      </c>
      <c r="D258" t="b">
        <v>0</v>
      </c>
      <c r="F258" s="14">
        <v>2600000</v>
      </c>
      <c r="G258" s="15">
        <f ca="1">TODAY()+65</f>
        <v>44286</v>
      </c>
    </row>
    <row r="259" spans="1:7" x14ac:dyDescent="0.2">
      <c r="A259" s="12" t="s">
        <v>3019</v>
      </c>
      <c r="B259" t="s">
        <v>2375</v>
      </c>
      <c r="C259" t="s">
        <v>2376</v>
      </c>
      <c r="D259" t="b">
        <v>0</v>
      </c>
      <c r="F259" s="14"/>
      <c r="G259" s="15"/>
    </row>
    <row r="260" spans="1:7" x14ac:dyDescent="0.2">
      <c r="A260" s="12" t="s">
        <v>3079</v>
      </c>
      <c r="B260" t="s">
        <v>2827</v>
      </c>
      <c r="C260" t="s">
        <v>2808</v>
      </c>
      <c r="D260" t="b">
        <v>0</v>
      </c>
      <c r="F260" s="14"/>
      <c r="G260" s="15"/>
    </row>
    <row r="261" spans="1:7" x14ac:dyDescent="0.2">
      <c r="A261" s="12" t="s">
        <v>3307</v>
      </c>
      <c r="B261" t="s">
        <v>2437</v>
      </c>
      <c r="C261" t="s">
        <v>2731</v>
      </c>
      <c r="D261" t="b">
        <v>0</v>
      </c>
      <c r="F261" s="14"/>
      <c r="G261" s="15"/>
    </row>
    <row r="262" spans="1:7" x14ac:dyDescent="0.2">
      <c r="A262" s="12" t="s">
        <v>3200</v>
      </c>
      <c r="B262" t="s">
        <v>2652</v>
      </c>
      <c r="C262" t="s">
        <v>2653</v>
      </c>
      <c r="D262" t="b">
        <v>0</v>
      </c>
      <c r="F262" s="14"/>
      <c r="G262" s="15"/>
    </row>
    <row r="263" spans="1:7" x14ac:dyDescent="0.2">
      <c r="A263" s="12" t="s">
        <v>3224</v>
      </c>
      <c r="B263" t="s">
        <v>2702</v>
      </c>
      <c r="C263" t="s">
        <v>2407</v>
      </c>
      <c r="D263" t="b">
        <v>0</v>
      </c>
      <c r="F263" s="14">
        <v>3500000</v>
      </c>
      <c r="G263" s="15">
        <f ca="1">TODAY()+239</f>
        <v>44460</v>
      </c>
    </row>
    <row r="264" spans="1:7" x14ac:dyDescent="0.2">
      <c r="A264" s="12" t="s">
        <v>3171</v>
      </c>
      <c r="B264" t="s">
        <v>2580</v>
      </c>
      <c r="C264" t="s">
        <v>2581</v>
      </c>
      <c r="D264" t="b">
        <v>0</v>
      </c>
      <c r="F264" s="14"/>
      <c r="G264" s="15"/>
    </row>
    <row r="265" spans="1:7" x14ac:dyDescent="0.2">
      <c r="A265" s="12" t="s">
        <v>3120</v>
      </c>
      <c r="B265" t="s">
        <v>2380</v>
      </c>
      <c r="C265" t="s">
        <v>2381</v>
      </c>
      <c r="D265" t="b">
        <v>0</v>
      </c>
      <c r="F265" s="14">
        <v>1000000</v>
      </c>
      <c r="G265" s="15">
        <f ca="1">TODAY()+214</f>
        <v>44435</v>
      </c>
    </row>
    <row r="266" spans="1:7" x14ac:dyDescent="0.2">
      <c r="A266" s="12" t="s">
        <v>3269</v>
      </c>
      <c r="B266" t="s">
        <v>2806</v>
      </c>
      <c r="C266" t="s">
        <v>2622</v>
      </c>
      <c r="D266" t="b">
        <v>0</v>
      </c>
      <c r="F266" s="14"/>
      <c r="G266" s="15"/>
    </row>
    <row r="267" spans="1:7" x14ac:dyDescent="0.2">
      <c r="A267" s="12" t="s">
        <v>2458</v>
      </c>
      <c r="B267" t="s">
        <v>2459</v>
      </c>
      <c r="C267" t="s">
        <v>2460</v>
      </c>
      <c r="D267" t="b">
        <v>0</v>
      </c>
      <c r="E267" t="s">
        <v>2356</v>
      </c>
      <c r="F267" s="14">
        <v>1300000</v>
      </c>
      <c r="G267" s="15">
        <f ca="1">TODAY()+154</f>
        <v>44375</v>
      </c>
    </row>
    <row r="268" spans="1:7" x14ac:dyDescent="0.2">
      <c r="A268" s="12" t="s">
        <v>3151</v>
      </c>
      <c r="B268" t="s">
        <v>2510</v>
      </c>
      <c r="C268" t="s">
        <v>2392</v>
      </c>
      <c r="D268" t="b">
        <v>0</v>
      </c>
      <c r="F268" s="14">
        <v>5000000</v>
      </c>
      <c r="G268" s="15">
        <f ca="1">TODAY()+224</f>
        <v>44445</v>
      </c>
    </row>
    <row r="269" spans="1:7" x14ac:dyDescent="0.2">
      <c r="A269" s="12" t="s">
        <v>3338</v>
      </c>
      <c r="B269" t="s">
        <v>2959</v>
      </c>
      <c r="C269" t="s">
        <v>2960</v>
      </c>
      <c r="D269" t="b">
        <v>0</v>
      </c>
      <c r="F269" s="14"/>
      <c r="G269" s="15"/>
    </row>
    <row r="270" spans="1:7" x14ac:dyDescent="0.2">
      <c r="A270" s="12" t="s">
        <v>3367</v>
      </c>
      <c r="B270" t="s">
        <v>2832</v>
      </c>
      <c r="C270" t="s">
        <v>3009</v>
      </c>
      <c r="D270" t="b">
        <v>0</v>
      </c>
      <c r="F270" s="14">
        <v>800000</v>
      </c>
      <c r="G270" s="15">
        <f ca="1">TODAY()+346</f>
        <v>44567</v>
      </c>
    </row>
    <row r="271" spans="1:7" x14ac:dyDescent="0.2">
      <c r="A271" s="12" t="s">
        <v>2367</v>
      </c>
      <c r="B271" t="s">
        <v>2424</v>
      </c>
      <c r="C271" t="s">
        <v>2378</v>
      </c>
      <c r="D271" t="b">
        <v>0</v>
      </c>
      <c r="F271" s="14"/>
      <c r="G271" s="15"/>
    </row>
    <row r="272" spans="1:7" x14ac:dyDescent="0.2">
      <c r="A272" s="12" t="s">
        <v>3346</v>
      </c>
      <c r="B272" t="s">
        <v>2493</v>
      </c>
      <c r="C272" t="s">
        <v>2595</v>
      </c>
      <c r="D272" t="b">
        <v>0</v>
      </c>
      <c r="F272" s="14">
        <v>100000</v>
      </c>
      <c r="G272" s="15">
        <f ca="1">TODAY()+131</f>
        <v>44352</v>
      </c>
    </row>
    <row r="273" spans="1:7" x14ac:dyDescent="0.2">
      <c r="A273" s="12" t="s">
        <v>3236</v>
      </c>
      <c r="B273" t="s">
        <v>2454</v>
      </c>
      <c r="C273" t="s">
        <v>2505</v>
      </c>
      <c r="D273" t="b">
        <v>0</v>
      </c>
      <c r="E273" t="s">
        <v>2356</v>
      </c>
      <c r="F273" s="14"/>
      <c r="G273" s="15"/>
    </row>
    <row r="274" spans="1:7" x14ac:dyDescent="0.2">
      <c r="A274" s="12" t="s">
        <v>2720</v>
      </c>
      <c r="B274" t="s">
        <v>2721</v>
      </c>
      <c r="C274" t="s">
        <v>2553</v>
      </c>
      <c r="D274" t="b">
        <v>1</v>
      </c>
      <c r="F274" s="14">
        <v>1100000</v>
      </c>
      <c r="G274" s="15">
        <f ca="1">TODAY()+185</f>
        <v>44406</v>
      </c>
    </row>
    <row r="275" spans="1:7" x14ac:dyDescent="0.2">
      <c r="A275" s="12" t="s">
        <v>3185</v>
      </c>
      <c r="B275" t="s">
        <v>2613</v>
      </c>
      <c r="C275" t="s">
        <v>2614</v>
      </c>
      <c r="D275" t="b">
        <v>0</v>
      </c>
      <c r="F275" s="14">
        <v>4600000</v>
      </c>
      <c r="G275" s="15">
        <f ca="1">TODAY()+79</f>
        <v>44300</v>
      </c>
    </row>
    <row r="276" spans="1:7" x14ac:dyDescent="0.2">
      <c r="A276" s="12" t="s">
        <v>2712</v>
      </c>
      <c r="B276" t="s">
        <v>2317</v>
      </c>
      <c r="C276" t="s">
        <v>2713</v>
      </c>
      <c r="D276" t="b">
        <v>1</v>
      </c>
      <c r="F276" s="14"/>
      <c r="G276" s="15"/>
    </row>
    <row r="277" spans="1:7" x14ac:dyDescent="0.2">
      <c r="A277" s="12" t="s">
        <v>3326</v>
      </c>
      <c r="B277" t="s">
        <v>2700</v>
      </c>
      <c r="C277" t="s">
        <v>2655</v>
      </c>
      <c r="D277" t="b">
        <v>0</v>
      </c>
      <c r="F277" s="14"/>
      <c r="G277" s="15"/>
    </row>
    <row r="278" spans="1:7" x14ac:dyDescent="0.2">
      <c r="A278" s="12" t="s">
        <v>3285</v>
      </c>
      <c r="B278" t="s">
        <v>2785</v>
      </c>
      <c r="C278" t="s">
        <v>2423</v>
      </c>
      <c r="D278" t="b">
        <v>0</v>
      </c>
      <c r="F278" s="14">
        <v>5000000</v>
      </c>
      <c r="G278" s="15">
        <f ca="1">TODAY()+280</f>
        <v>44501</v>
      </c>
    </row>
    <row r="279" spans="1:7" x14ac:dyDescent="0.2">
      <c r="A279" s="12" t="s">
        <v>2531</v>
      </c>
      <c r="B279" t="s">
        <v>2532</v>
      </c>
      <c r="C279" t="s">
        <v>2533</v>
      </c>
      <c r="D279" t="b">
        <v>1</v>
      </c>
      <c r="F279" s="14">
        <v>2700000</v>
      </c>
      <c r="G279" s="15">
        <f ca="1">TODAY()+111</f>
        <v>44332</v>
      </c>
    </row>
    <row r="280" spans="1:7" x14ac:dyDescent="0.2">
      <c r="A280" s="12" t="s">
        <v>3262</v>
      </c>
      <c r="B280" t="s">
        <v>2424</v>
      </c>
      <c r="C280" t="s">
        <v>2332</v>
      </c>
      <c r="D280" t="b">
        <v>0</v>
      </c>
      <c r="F280" s="14">
        <v>4100000</v>
      </c>
      <c r="G280" s="15">
        <f ca="1">TODAY()+258</f>
        <v>44479</v>
      </c>
    </row>
    <row r="281" spans="1:7" x14ac:dyDescent="0.2">
      <c r="A281" s="12" t="s">
        <v>2972</v>
      </c>
      <c r="B281" t="s">
        <v>2973</v>
      </c>
      <c r="C281" t="s">
        <v>2429</v>
      </c>
      <c r="D281" t="b">
        <v>0</v>
      </c>
      <c r="F281" s="14"/>
      <c r="G281" s="15"/>
    </row>
    <row r="282" spans="1:7" x14ac:dyDescent="0.2">
      <c r="A282" s="12" t="s">
        <v>3270</v>
      </c>
      <c r="B282" t="s">
        <v>2613</v>
      </c>
      <c r="C282" t="s">
        <v>2614</v>
      </c>
      <c r="D282" t="b">
        <v>1</v>
      </c>
      <c r="F282" s="14"/>
      <c r="G282" s="15"/>
    </row>
    <row r="283" spans="1:7" x14ac:dyDescent="0.2">
      <c r="A283" s="12" t="s">
        <v>2754</v>
      </c>
      <c r="B283" t="s">
        <v>2755</v>
      </c>
      <c r="C283" t="s">
        <v>2756</v>
      </c>
      <c r="D283" t="b">
        <v>0</v>
      </c>
      <c r="F283" s="14"/>
      <c r="G283" s="15"/>
    </row>
    <row r="284" spans="1:7" x14ac:dyDescent="0.2">
      <c r="A284" s="12" t="s">
        <v>3174</v>
      </c>
      <c r="B284" t="s">
        <v>2584</v>
      </c>
      <c r="C284" t="s">
        <v>2585</v>
      </c>
      <c r="D284" t="b">
        <v>0</v>
      </c>
      <c r="F284" s="14"/>
      <c r="G284" s="15"/>
    </row>
    <row r="285" spans="1:7" x14ac:dyDescent="0.2">
      <c r="A285" s="12" t="s">
        <v>3118</v>
      </c>
      <c r="B285" t="s">
        <v>2377</v>
      </c>
      <c r="C285" t="s">
        <v>2378</v>
      </c>
      <c r="D285" t="b">
        <v>0</v>
      </c>
      <c r="F285" s="14"/>
      <c r="G285" s="15"/>
    </row>
    <row r="286" spans="1:7" x14ac:dyDescent="0.2">
      <c r="A286" s="12" t="s">
        <v>3247</v>
      </c>
      <c r="B286" t="s">
        <v>2517</v>
      </c>
      <c r="C286" t="s">
        <v>2595</v>
      </c>
      <c r="D286" t="b">
        <v>1</v>
      </c>
      <c r="E286" t="s">
        <v>2356</v>
      </c>
      <c r="F286" s="14"/>
      <c r="G286" s="15"/>
    </row>
    <row r="287" spans="1:7" x14ac:dyDescent="0.2">
      <c r="A287" s="12" t="s">
        <v>3110</v>
      </c>
      <c r="B287" t="s">
        <v>2340</v>
      </c>
      <c r="C287" t="s">
        <v>2341</v>
      </c>
      <c r="D287" t="b">
        <v>0</v>
      </c>
      <c r="F287" s="14"/>
      <c r="G287" s="15"/>
    </row>
    <row r="288" spans="1:7" x14ac:dyDescent="0.2">
      <c r="A288" s="12" t="s">
        <v>3125</v>
      </c>
      <c r="B288" t="s">
        <v>2397</v>
      </c>
      <c r="C288" t="s">
        <v>2398</v>
      </c>
      <c r="D288" t="b">
        <v>0</v>
      </c>
      <c r="F288" s="14"/>
      <c r="G288" s="15"/>
    </row>
    <row r="289" spans="1:7" x14ac:dyDescent="0.2">
      <c r="A289" s="12" t="s">
        <v>3049</v>
      </c>
      <c r="B289" t="s">
        <v>2718</v>
      </c>
      <c r="C289" t="s">
        <v>2719</v>
      </c>
      <c r="D289" t="b">
        <v>1</v>
      </c>
      <c r="F289" s="14"/>
      <c r="G289" s="15"/>
    </row>
    <row r="290" spans="1:7" x14ac:dyDescent="0.2">
      <c r="A290" s="12" t="s">
        <v>3141</v>
      </c>
      <c r="B290" t="s">
        <v>2472</v>
      </c>
      <c r="C290" t="s">
        <v>2473</v>
      </c>
      <c r="D290" t="b">
        <v>0</v>
      </c>
      <c r="F290" s="14"/>
      <c r="G290" s="15"/>
    </row>
    <row r="291" spans="1:7" x14ac:dyDescent="0.2">
      <c r="A291" s="12" t="s">
        <v>2586</v>
      </c>
      <c r="B291" t="s">
        <v>2587</v>
      </c>
      <c r="C291" t="s">
        <v>2328</v>
      </c>
      <c r="D291" t="b">
        <v>0</v>
      </c>
      <c r="F291" s="14">
        <v>2400000</v>
      </c>
      <c r="G291" s="15">
        <f ca="1">TODAY()+282</f>
        <v>44503</v>
      </c>
    </row>
    <row r="292" spans="1:7" x14ac:dyDescent="0.2">
      <c r="A292" s="12" t="s">
        <v>2965</v>
      </c>
      <c r="B292" t="s">
        <v>2821</v>
      </c>
      <c r="C292" t="s">
        <v>2328</v>
      </c>
      <c r="D292" t="b">
        <v>0</v>
      </c>
      <c r="F292" s="14"/>
      <c r="G292" s="15"/>
    </row>
    <row r="293" spans="1:7" x14ac:dyDescent="0.2">
      <c r="A293" s="12" t="s">
        <v>3344</v>
      </c>
      <c r="B293" t="s">
        <v>2839</v>
      </c>
      <c r="C293" t="s">
        <v>2530</v>
      </c>
      <c r="D293" t="b">
        <v>0</v>
      </c>
      <c r="F293" s="14"/>
      <c r="G293" s="15"/>
    </row>
    <row r="294" spans="1:7" x14ac:dyDescent="0.2">
      <c r="A294" s="12" t="s">
        <v>2486</v>
      </c>
      <c r="B294" t="s">
        <v>2487</v>
      </c>
      <c r="C294" t="s">
        <v>2488</v>
      </c>
      <c r="D294" t="b">
        <v>0</v>
      </c>
      <c r="F294" s="14"/>
      <c r="G294" s="15"/>
    </row>
    <row r="295" spans="1:7" x14ac:dyDescent="0.2">
      <c r="A295" s="12" t="s">
        <v>2855</v>
      </c>
      <c r="B295" t="s">
        <v>2830</v>
      </c>
      <c r="C295" t="s">
        <v>2570</v>
      </c>
      <c r="D295" t="b">
        <v>0</v>
      </c>
      <c r="F295" s="14"/>
      <c r="G295" s="15"/>
    </row>
    <row r="296" spans="1:7" x14ac:dyDescent="0.2">
      <c r="A296" s="12" t="s">
        <v>3164</v>
      </c>
      <c r="B296" t="s">
        <v>2325</v>
      </c>
      <c r="C296" t="s">
        <v>2556</v>
      </c>
      <c r="D296" t="b">
        <v>0</v>
      </c>
      <c r="F296" s="14"/>
      <c r="G296" s="15"/>
    </row>
    <row r="297" spans="1:7" x14ac:dyDescent="0.2">
      <c r="A297" s="12" t="s">
        <v>3314</v>
      </c>
      <c r="B297" t="s">
        <v>2925</v>
      </c>
      <c r="C297" t="s">
        <v>2441</v>
      </c>
      <c r="D297" t="b">
        <v>1</v>
      </c>
      <c r="F297" s="14">
        <v>1500000</v>
      </c>
      <c r="G297" s="15">
        <f ca="1">TODAY()+170</f>
        <v>44391</v>
      </c>
    </row>
    <row r="298" spans="1:7" x14ac:dyDescent="0.2">
      <c r="A298" s="12" t="s">
        <v>3128</v>
      </c>
      <c r="B298" t="s">
        <v>2403</v>
      </c>
      <c r="C298" t="s">
        <v>2404</v>
      </c>
      <c r="D298" t="b">
        <v>0</v>
      </c>
      <c r="F298" s="14"/>
      <c r="G298" s="15"/>
    </row>
    <row r="299" spans="1:7" x14ac:dyDescent="0.2">
      <c r="A299" s="12" t="s">
        <v>3006</v>
      </c>
      <c r="B299" t="s">
        <v>2755</v>
      </c>
      <c r="C299" t="s">
        <v>2449</v>
      </c>
      <c r="D299" t="b">
        <v>0</v>
      </c>
      <c r="F299" s="14">
        <v>1100000</v>
      </c>
      <c r="G299" s="15">
        <f ca="1">TODAY()+167</f>
        <v>44388</v>
      </c>
    </row>
    <row r="300" spans="1:7" x14ac:dyDescent="0.2">
      <c r="A300" s="12" t="s">
        <v>3210</v>
      </c>
      <c r="B300" t="s">
        <v>2672</v>
      </c>
      <c r="C300" t="s">
        <v>2673</v>
      </c>
      <c r="D300" t="b">
        <v>1</v>
      </c>
      <c r="F300" s="14"/>
      <c r="G300" s="15"/>
    </row>
    <row r="301" spans="1:7" x14ac:dyDescent="0.2">
      <c r="A301" s="12" t="s">
        <v>2588</v>
      </c>
      <c r="B301" t="s">
        <v>2589</v>
      </c>
      <c r="C301" t="s">
        <v>2392</v>
      </c>
      <c r="D301" t="b">
        <v>0</v>
      </c>
      <c r="F301" s="14"/>
      <c r="G301" s="15"/>
    </row>
    <row r="302" spans="1:7" x14ac:dyDescent="0.2">
      <c r="A302" s="12" t="s">
        <v>3201</v>
      </c>
      <c r="B302" t="s">
        <v>2527</v>
      </c>
      <c r="C302" t="s">
        <v>2490</v>
      </c>
      <c r="D302" t="b">
        <v>1</v>
      </c>
      <c r="F302" s="14"/>
      <c r="G302" s="15"/>
    </row>
    <row r="303" spans="1:7" x14ac:dyDescent="0.2">
      <c r="A303" s="12" t="s">
        <v>3130</v>
      </c>
      <c r="B303" t="s">
        <v>2411</v>
      </c>
      <c r="C303" t="s">
        <v>2369</v>
      </c>
      <c r="D303" t="b">
        <v>1</v>
      </c>
      <c r="F303" s="14"/>
      <c r="G303" s="15"/>
    </row>
    <row r="304" spans="1:7" x14ac:dyDescent="0.2">
      <c r="A304" s="12" t="s">
        <v>2650</v>
      </c>
      <c r="B304" t="s">
        <v>2651</v>
      </c>
      <c r="C304" t="s">
        <v>2482</v>
      </c>
      <c r="D304" t="b">
        <v>0</v>
      </c>
      <c r="F304" s="14">
        <v>4500000</v>
      </c>
      <c r="G304" s="15">
        <f ca="1">TODAY()+290</f>
        <v>44511</v>
      </c>
    </row>
    <row r="305" spans="1:7" x14ac:dyDescent="0.2">
      <c r="A305" s="12" t="s">
        <v>3238</v>
      </c>
      <c r="B305" t="s">
        <v>2354</v>
      </c>
      <c r="C305" t="s">
        <v>2734</v>
      </c>
      <c r="D305" t="b">
        <v>0</v>
      </c>
      <c r="E305" t="s">
        <v>2356</v>
      </c>
      <c r="F305" s="14">
        <v>2300000</v>
      </c>
      <c r="G305" s="15">
        <f ca="1">TODAY()+243</f>
        <v>44464</v>
      </c>
    </row>
    <row r="306" spans="1:7" x14ac:dyDescent="0.2">
      <c r="A306" s="12" t="s">
        <v>3205</v>
      </c>
      <c r="B306" t="s">
        <v>2661</v>
      </c>
      <c r="C306" t="s">
        <v>2488</v>
      </c>
      <c r="D306" t="b">
        <v>0</v>
      </c>
      <c r="F306" s="14"/>
      <c r="G306" s="15"/>
    </row>
    <row r="307" spans="1:7" x14ac:dyDescent="0.2">
      <c r="A307" s="12" t="s">
        <v>3257</v>
      </c>
      <c r="B307" t="s">
        <v>2780</v>
      </c>
      <c r="C307" t="s">
        <v>2603</v>
      </c>
      <c r="D307" t="b">
        <v>0</v>
      </c>
      <c r="F307" s="14"/>
      <c r="G307" s="15"/>
    </row>
    <row r="308" spans="1:7" x14ac:dyDescent="0.2">
      <c r="A308" s="12" t="s">
        <v>3243</v>
      </c>
      <c r="B308" t="s">
        <v>2744</v>
      </c>
      <c r="C308" t="s">
        <v>2745</v>
      </c>
      <c r="D308" t="b">
        <v>1</v>
      </c>
      <c r="F308" s="14"/>
      <c r="G308" s="15"/>
    </row>
    <row r="309" spans="1:7" x14ac:dyDescent="0.2">
      <c r="A309" s="12" t="s">
        <v>3335</v>
      </c>
      <c r="B309" t="s">
        <v>2422</v>
      </c>
      <c r="C309" t="s">
        <v>2954</v>
      </c>
      <c r="D309" t="b">
        <v>1</v>
      </c>
      <c r="F309" s="14"/>
      <c r="G309" s="15"/>
    </row>
    <row r="310" spans="1:7" x14ac:dyDescent="0.2">
      <c r="A310" s="12" t="s">
        <v>3358</v>
      </c>
      <c r="B310" t="s">
        <v>2990</v>
      </c>
      <c r="C310" t="s">
        <v>2999</v>
      </c>
      <c r="D310" t="b">
        <v>0</v>
      </c>
      <c r="F310" s="14"/>
      <c r="G310" s="15"/>
    </row>
    <row r="311" spans="1:7" x14ac:dyDescent="0.2">
      <c r="A311" s="12" t="s">
        <v>2904</v>
      </c>
      <c r="B311" t="s">
        <v>2443</v>
      </c>
      <c r="C311" t="s">
        <v>2628</v>
      </c>
      <c r="D311" t="b">
        <v>0</v>
      </c>
      <c r="F311" s="14"/>
      <c r="G311" s="15"/>
    </row>
    <row r="312" spans="1:7" x14ac:dyDescent="0.2">
      <c r="A312" s="12" t="s">
        <v>3159</v>
      </c>
      <c r="B312" t="s">
        <v>2543</v>
      </c>
      <c r="C312" t="s">
        <v>2544</v>
      </c>
      <c r="D312" t="b">
        <v>0</v>
      </c>
      <c r="F312" s="14">
        <v>1300000</v>
      </c>
      <c r="G312" s="15">
        <f ca="1">TODAY()+239</f>
        <v>44460</v>
      </c>
    </row>
    <row r="313" spans="1:7" x14ac:dyDescent="0.2">
      <c r="A313" s="12" t="s">
        <v>2850</v>
      </c>
      <c r="B313" t="s">
        <v>2851</v>
      </c>
      <c r="C313" t="s">
        <v>2476</v>
      </c>
      <c r="D313" t="b">
        <v>0</v>
      </c>
      <c r="F313" s="14">
        <v>3900000</v>
      </c>
      <c r="G313" s="15">
        <f ca="1">TODAY()+165</f>
        <v>44386</v>
      </c>
    </row>
    <row r="314" spans="1:7" x14ac:dyDescent="0.2">
      <c r="A314" s="12" t="s">
        <v>3112</v>
      </c>
      <c r="B314" t="s">
        <v>2424</v>
      </c>
      <c r="C314" t="s">
        <v>2709</v>
      </c>
      <c r="D314" t="b">
        <v>1</v>
      </c>
      <c r="F314" s="14">
        <v>600000</v>
      </c>
      <c r="G314" s="15">
        <f ca="1">TODAY()+98</f>
        <v>44319</v>
      </c>
    </row>
    <row r="315" spans="1:7" x14ac:dyDescent="0.2">
      <c r="A315" s="12" t="s">
        <v>2820</v>
      </c>
      <c r="B315" t="s">
        <v>2821</v>
      </c>
      <c r="C315" t="s">
        <v>2471</v>
      </c>
      <c r="D315" t="b">
        <v>0</v>
      </c>
      <c r="F315" s="14"/>
      <c r="G315" s="15"/>
    </row>
    <row r="316" spans="1:7" x14ac:dyDescent="0.2">
      <c r="A316" s="12" t="s">
        <v>3267</v>
      </c>
      <c r="B316" t="s">
        <v>2803</v>
      </c>
      <c r="C316" t="s">
        <v>2804</v>
      </c>
      <c r="D316" t="b">
        <v>0</v>
      </c>
      <c r="F316" s="14"/>
      <c r="G316" s="15"/>
    </row>
    <row r="317" spans="1:7" x14ac:dyDescent="0.2">
      <c r="A317" s="12" t="s">
        <v>3080</v>
      </c>
      <c r="B317" t="s">
        <v>2913</v>
      </c>
      <c r="C317" t="s">
        <v>2897</v>
      </c>
      <c r="D317" t="b">
        <v>0</v>
      </c>
      <c r="F317" s="14"/>
      <c r="G317" s="15"/>
    </row>
    <row r="318" spans="1:7" x14ac:dyDescent="0.2">
      <c r="A318" s="12" t="s">
        <v>3332</v>
      </c>
      <c r="B318" t="s">
        <v>2636</v>
      </c>
      <c r="C318" t="s">
        <v>2668</v>
      </c>
      <c r="D318" t="b">
        <v>0</v>
      </c>
      <c r="F318" s="14"/>
      <c r="G318" s="15"/>
    </row>
    <row r="319" spans="1:7" x14ac:dyDescent="0.2">
      <c r="A319" s="12" t="s">
        <v>3303</v>
      </c>
      <c r="B319" t="s">
        <v>2648</v>
      </c>
      <c r="C319" t="s">
        <v>2457</v>
      </c>
      <c r="D319" t="b">
        <v>0</v>
      </c>
      <c r="F319" s="14">
        <v>4700000</v>
      </c>
      <c r="G319" s="15">
        <f ca="1">TODAY()+267</f>
        <v>44488</v>
      </c>
    </row>
    <row r="320" spans="1:7" x14ac:dyDescent="0.2">
      <c r="A320" s="12" t="s">
        <v>3354</v>
      </c>
      <c r="B320" t="s">
        <v>2806</v>
      </c>
      <c r="C320" t="s">
        <v>2334</v>
      </c>
      <c r="D320" t="b">
        <v>1</v>
      </c>
      <c r="F320" s="14">
        <v>3500000</v>
      </c>
      <c r="G320" s="15">
        <f ca="1">TODAY()+312</f>
        <v>44533</v>
      </c>
    </row>
    <row r="321" spans="1:7" x14ac:dyDescent="0.2">
      <c r="A321" s="12" t="s">
        <v>2726</v>
      </c>
      <c r="B321" t="s">
        <v>3003</v>
      </c>
      <c r="C321" t="s">
        <v>2831</v>
      </c>
      <c r="D321" t="b">
        <v>1</v>
      </c>
      <c r="F321" s="14">
        <v>400000</v>
      </c>
      <c r="G321" s="15">
        <f ca="1">TODAY()+217</f>
        <v>44438</v>
      </c>
    </row>
    <row r="322" spans="1:7" x14ac:dyDescent="0.2">
      <c r="A322" s="12" t="s">
        <v>3081</v>
      </c>
      <c r="B322" t="s">
        <v>2657</v>
      </c>
      <c r="C322" t="s">
        <v>2725</v>
      </c>
      <c r="D322" t="b">
        <v>0</v>
      </c>
      <c r="F322" s="14"/>
      <c r="G322" s="15"/>
    </row>
    <row r="323" spans="1:7" x14ac:dyDescent="0.2">
      <c r="A323" s="12" t="s">
        <v>2983</v>
      </c>
      <c r="B323" t="s">
        <v>2657</v>
      </c>
      <c r="C323" t="s">
        <v>2488</v>
      </c>
      <c r="D323" t="b">
        <v>0</v>
      </c>
      <c r="E323" t="s">
        <v>2356</v>
      </c>
      <c r="F323" s="14">
        <v>3600000</v>
      </c>
      <c r="G323" s="15">
        <f ca="1">TODAY()+162</f>
        <v>44383</v>
      </c>
    </row>
    <row r="324" spans="1:7" x14ac:dyDescent="0.2">
      <c r="A324" s="12" t="s">
        <v>2523</v>
      </c>
      <c r="B324" t="s">
        <v>2446</v>
      </c>
      <c r="C324" t="s">
        <v>2524</v>
      </c>
      <c r="D324" t="b">
        <v>0</v>
      </c>
      <c r="F324" s="14">
        <v>2600000</v>
      </c>
      <c r="G324" s="15">
        <f ca="1">TODAY()+73</f>
        <v>44294</v>
      </c>
    </row>
    <row r="325" spans="1:7" x14ac:dyDescent="0.2">
      <c r="A325" s="12" t="s">
        <v>3104</v>
      </c>
      <c r="B325" t="s">
        <v>2321</v>
      </c>
      <c r="C325" t="s">
        <v>2322</v>
      </c>
      <c r="D325" t="b">
        <v>0</v>
      </c>
      <c r="F325" s="14"/>
      <c r="G325" s="15"/>
    </row>
    <row r="326" spans="1:7" x14ac:dyDescent="0.2">
      <c r="A326" s="12" t="s">
        <v>2993</v>
      </c>
      <c r="B326" t="s">
        <v>2501</v>
      </c>
      <c r="C326" t="s">
        <v>2680</v>
      </c>
      <c r="D326" t="b">
        <v>0</v>
      </c>
      <c r="F326" s="14"/>
      <c r="G326" s="15"/>
    </row>
    <row r="327" spans="1:7" x14ac:dyDescent="0.2">
      <c r="A327" s="12" t="s">
        <v>3045</v>
      </c>
      <c r="B327" t="s">
        <v>2690</v>
      </c>
      <c r="C327" t="s">
        <v>2691</v>
      </c>
      <c r="D327" t="b">
        <v>0</v>
      </c>
      <c r="F327" s="14"/>
      <c r="G327" s="15"/>
    </row>
    <row r="328" spans="1:7" x14ac:dyDescent="0.2">
      <c r="A328" s="12" t="s">
        <v>3284</v>
      </c>
      <c r="B328" t="s">
        <v>2860</v>
      </c>
      <c r="C328" t="s">
        <v>2329</v>
      </c>
      <c r="D328" t="b">
        <v>0</v>
      </c>
      <c r="F328" s="14"/>
      <c r="G328" s="15"/>
    </row>
    <row r="329" spans="1:7" x14ac:dyDescent="0.2">
      <c r="A329" s="12" t="s">
        <v>2474</v>
      </c>
      <c r="B329" t="s">
        <v>2475</v>
      </c>
      <c r="C329" t="s">
        <v>2476</v>
      </c>
      <c r="D329" t="b">
        <v>1</v>
      </c>
      <c r="F329" s="14">
        <v>2000000</v>
      </c>
      <c r="G329" s="15">
        <f ca="1">TODAY()+350</f>
        <v>44571</v>
      </c>
    </row>
    <row r="330" spans="1:7" x14ac:dyDescent="0.2">
      <c r="A330" s="12" t="s">
        <v>3301</v>
      </c>
      <c r="B330" t="s">
        <v>2900</v>
      </c>
      <c r="C330" t="s">
        <v>2901</v>
      </c>
      <c r="D330" t="b">
        <v>0</v>
      </c>
      <c r="F330" s="14">
        <v>1900000</v>
      </c>
      <c r="G330" s="15">
        <f ca="1">TODAY()+323</f>
        <v>44544</v>
      </c>
    </row>
    <row r="331" spans="1:7" x14ac:dyDescent="0.2">
      <c r="A331" s="12" t="s">
        <v>3078</v>
      </c>
      <c r="B331" t="s">
        <v>2898</v>
      </c>
      <c r="C331" t="s">
        <v>2899</v>
      </c>
      <c r="D331" t="b">
        <v>0</v>
      </c>
      <c r="F331" s="14"/>
      <c r="G331" s="15"/>
    </row>
    <row r="332" spans="1:7" x14ac:dyDescent="0.2">
      <c r="A332" s="12" t="s">
        <v>3277</v>
      </c>
      <c r="B332" t="s">
        <v>2716</v>
      </c>
      <c r="C332" t="s">
        <v>2709</v>
      </c>
      <c r="D332" t="b">
        <v>0</v>
      </c>
      <c r="F332" s="14"/>
      <c r="G332" s="15"/>
    </row>
    <row r="333" spans="1:7" x14ac:dyDescent="0.2">
      <c r="A333" s="12" t="s">
        <v>3096</v>
      </c>
      <c r="B333" t="s">
        <v>2971</v>
      </c>
      <c r="C333" t="s">
        <v>2603</v>
      </c>
      <c r="D333" t="b">
        <v>0</v>
      </c>
      <c r="F333" s="14"/>
      <c r="G333" s="15"/>
    </row>
    <row r="334" spans="1:7" x14ac:dyDescent="0.2">
      <c r="A334" s="12" t="s">
        <v>2408</v>
      </c>
      <c r="B334" t="s">
        <v>2409</v>
      </c>
      <c r="C334" t="s">
        <v>2410</v>
      </c>
      <c r="D334" t="b">
        <v>0</v>
      </c>
      <c r="F334" s="14"/>
      <c r="G334" s="15"/>
    </row>
    <row r="335" spans="1:7" x14ac:dyDescent="0.2">
      <c r="A335" s="12" t="s">
        <v>2928</v>
      </c>
      <c r="B335" t="s">
        <v>2929</v>
      </c>
      <c r="C335" t="s">
        <v>2930</v>
      </c>
      <c r="D335" t="b">
        <v>0</v>
      </c>
      <c r="F335" s="14"/>
      <c r="G335" s="15"/>
    </row>
    <row r="336" spans="1:7" x14ac:dyDescent="0.2">
      <c r="A336" s="12" t="s">
        <v>3242</v>
      </c>
      <c r="B336" t="s">
        <v>2732</v>
      </c>
      <c r="C336" t="s">
        <v>2530</v>
      </c>
      <c r="D336" t="b">
        <v>0</v>
      </c>
      <c r="F336" s="14">
        <v>2400000</v>
      </c>
      <c r="G336" s="15">
        <f ca="1">TODAY()+256</f>
        <v>44477</v>
      </c>
    </row>
    <row r="337" spans="1:7" x14ac:dyDescent="0.2">
      <c r="A337" s="12" t="s">
        <v>3356</v>
      </c>
      <c r="B337" t="s">
        <v>2988</v>
      </c>
      <c r="C337" t="s">
        <v>2624</v>
      </c>
      <c r="D337" t="b">
        <v>1</v>
      </c>
      <c r="F337" s="14"/>
      <c r="G337" s="15"/>
    </row>
    <row r="338" spans="1:7" x14ac:dyDescent="0.2">
      <c r="A338" s="12" t="s">
        <v>2950</v>
      </c>
      <c r="B338" t="s">
        <v>2994</v>
      </c>
      <c r="C338" t="s">
        <v>2995</v>
      </c>
      <c r="D338" t="b">
        <v>0</v>
      </c>
      <c r="F338" s="14">
        <v>5000000</v>
      </c>
      <c r="G338" s="15">
        <f ca="1">TODAY()+104</f>
        <v>44325</v>
      </c>
    </row>
    <row r="339" spans="1:7" x14ac:dyDescent="0.2">
      <c r="A339" s="12" t="s">
        <v>2968</v>
      </c>
      <c r="B339" t="s">
        <v>2969</v>
      </c>
      <c r="C339" t="s">
        <v>2624</v>
      </c>
      <c r="D339" t="b">
        <v>0</v>
      </c>
      <c r="F339" s="14"/>
      <c r="G339" s="15"/>
    </row>
    <row r="340" spans="1:7" x14ac:dyDescent="0.2">
      <c r="A340" s="12" t="s">
        <v>3085</v>
      </c>
      <c r="B340" t="s">
        <v>2569</v>
      </c>
      <c r="C340" t="s">
        <v>2931</v>
      </c>
      <c r="D340" t="b">
        <v>0</v>
      </c>
      <c r="F340" s="14"/>
      <c r="G340" s="15"/>
    </row>
    <row r="341" spans="1:7" x14ac:dyDescent="0.2">
      <c r="A341" s="12" t="s">
        <v>2496</v>
      </c>
      <c r="B341" t="s">
        <v>2497</v>
      </c>
      <c r="C341" t="s">
        <v>2423</v>
      </c>
      <c r="D341" t="b">
        <v>0</v>
      </c>
      <c r="F341" s="14">
        <v>1800000</v>
      </c>
      <c r="G341" s="15">
        <f ca="1">TODAY()+227</f>
        <v>44448</v>
      </c>
    </row>
    <row r="342" spans="1:7" x14ac:dyDescent="0.2">
      <c r="A342" s="12" t="s">
        <v>2769</v>
      </c>
      <c r="B342" t="s">
        <v>2730</v>
      </c>
      <c r="C342" t="s">
        <v>2753</v>
      </c>
      <c r="D342" t="b">
        <v>0</v>
      </c>
      <c r="F342" s="14"/>
      <c r="G342" s="15"/>
    </row>
    <row r="343" spans="1:7" x14ac:dyDescent="0.2">
      <c r="A343" s="12" t="s">
        <v>3170</v>
      </c>
      <c r="B343" t="s">
        <v>2571</v>
      </c>
      <c r="C343" t="s">
        <v>2572</v>
      </c>
      <c r="D343" t="b">
        <v>1</v>
      </c>
      <c r="F343" s="14">
        <v>100000</v>
      </c>
      <c r="G343" s="15">
        <f ca="1">TODAY()+249</f>
        <v>44470</v>
      </c>
    </row>
    <row r="344" spans="1:7" x14ac:dyDescent="0.2">
      <c r="A344" s="12" t="s">
        <v>2949</v>
      </c>
      <c r="B344" t="s">
        <v>2980</v>
      </c>
      <c r="C344" t="s">
        <v>2981</v>
      </c>
      <c r="D344" t="b">
        <v>0</v>
      </c>
      <c r="F344" s="14"/>
      <c r="G344" s="15"/>
    </row>
    <row r="345" spans="1:7" x14ac:dyDescent="0.2">
      <c r="A345" s="12" t="s">
        <v>2590</v>
      </c>
      <c r="B345" t="s">
        <v>2405</v>
      </c>
      <c r="C345" t="s">
        <v>2591</v>
      </c>
      <c r="D345" t="b">
        <v>0</v>
      </c>
      <c r="F345" s="14">
        <v>1100000</v>
      </c>
      <c r="G345" s="15">
        <f ca="1">TODAY()+70</f>
        <v>44291</v>
      </c>
    </row>
    <row r="346" spans="1:7" x14ac:dyDescent="0.2">
      <c r="A346" s="12" t="s">
        <v>3083</v>
      </c>
      <c r="B346" t="s">
        <v>2921</v>
      </c>
      <c r="C346" t="s">
        <v>2366</v>
      </c>
      <c r="D346" t="b">
        <v>0</v>
      </c>
      <c r="F346" s="14">
        <v>600000</v>
      </c>
      <c r="G346" s="15">
        <f ca="1">TODAY()+197</f>
        <v>44418</v>
      </c>
    </row>
    <row r="347" spans="1:7" x14ac:dyDescent="0.2">
      <c r="A347" s="12" t="s">
        <v>3261</v>
      </c>
      <c r="B347" t="s">
        <v>2401</v>
      </c>
      <c r="C347" t="s">
        <v>2758</v>
      </c>
      <c r="D347" t="b">
        <v>1</v>
      </c>
      <c r="F347" s="14"/>
      <c r="G347" s="15"/>
    </row>
    <row r="348" spans="1:7" x14ac:dyDescent="0.2">
      <c r="A348" s="12" t="s">
        <v>3108</v>
      </c>
      <c r="B348" t="s">
        <v>2333</v>
      </c>
      <c r="C348" t="s">
        <v>2334</v>
      </c>
      <c r="D348" t="b">
        <v>0</v>
      </c>
      <c r="F348" s="14">
        <v>900000</v>
      </c>
      <c r="G348" s="15">
        <f ca="1">TODAY()+164</f>
        <v>44385</v>
      </c>
    </row>
    <row r="349" spans="1:7" x14ac:dyDescent="0.2">
      <c r="A349" s="12" t="s">
        <v>3156</v>
      </c>
      <c r="B349" t="s">
        <v>2538</v>
      </c>
      <c r="C349" t="s">
        <v>2423</v>
      </c>
      <c r="D349" t="b">
        <v>0</v>
      </c>
      <c r="F349" s="14"/>
      <c r="G349" s="15"/>
    </row>
    <row r="350" spans="1:7" x14ac:dyDescent="0.2">
      <c r="A350" s="12" t="s">
        <v>3218</v>
      </c>
      <c r="B350" t="s">
        <v>2686</v>
      </c>
      <c r="C350" t="s">
        <v>2476</v>
      </c>
      <c r="D350" t="b">
        <v>1</v>
      </c>
      <c r="F350" s="14">
        <v>4000000</v>
      </c>
      <c r="G350" s="15">
        <f ca="1">TODAY()+270</f>
        <v>44491</v>
      </c>
    </row>
    <row r="351" spans="1:7" x14ac:dyDescent="0.2">
      <c r="A351" s="12" t="s">
        <v>3094</v>
      </c>
      <c r="B351" t="s">
        <v>2704</v>
      </c>
      <c r="C351" t="s">
        <v>2956</v>
      </c>
      <c r="D351" t="b">
        <v>0</v>
      </c>
      <c r="F351" s="14"/>
      <c r="G351" s="15"/>
    </row>
    <row r="352" spans="1:7" x14ac:dyDescent="0.2">
      <c r="A352" s="12" t="s">
        <v>2818</v>
      </c>
      <c r="B352" t="s">
        <v>2819</v>
      </c>
      <c r="C352" t="s">
        <v>2372</v>
      </c>
      <c r="D352" t="b">
        <v>0</v>
      </c>
      <c r="F352" s="14"/>
      <c r="G352" s="15"/>
    </row>
    <row r="353" spans="1:7" x14ac:dyDescent="0.2">
      <c r="A353" s="12" t="s">
        <v>2799</v>
      </c>
      <c r="B353" t="s">
        <v>2613</v>
      </c>
      <c r="C353" t="s">
        <v>2695</v>
      </c>
      <c r="D353" t="b">
        <v>1</v>
      </c>
      <c r="F353" s="14"/>
      <c r="G353" s="15"/>
    </row>
    <row r="354" spans="1:7" x14ac:dyDescent="0.2">
      <c r="A354" s="12" t="s">
        <v>3032</v>
      </c>
      <c r="B354" t="s">
        <v>2428</v>
      </c>
      <c r="C354" t="s">
        <v>2513</v>
      </c>
      <c r="D354" t="b">
        <v>0</v>
      </c>
      <c r="F354" s="14"/>
      <c r="G354" s="15"/>
    </row>
    <row r="355" spans="1:7" x14ac:dyDescent="0.2">
      <c r="A355" s="12" t="s">
        <v>3229</v>
      </c>
      <c r="B355" t="s">
        <v>2714</v>
      </c>
      <c r="C355" t="s">
        <v>2599</v>
      </c>
      <c r="D355" t="b">
        <v>1</v>
      </c>
      <c r="F355" s="14"/>
      <c r="G355" s="15"/>
    </row>
    <row r="356" spans="1:7" x14ac:dyDescent="0.2">
      <c r="A356" s="12" t="s">
        <v>2687</v>
      </c>
      <c r="B356" t="s">
        <v>2688</v>
      </c>
      <c r="C356" t="s">
        <v>2618</v>
      </c>
      <c r="D356" t="b">
        <v>0</v>
      </c>
      <c r="F356" s="14"/>
      <c r="G356" s="15"/>
    </row>
    <row r="357" spans="1:7" x14ac:dyDescent="0.2">
      <c r="A357" s="12" t="s">
        <v>3282</v>
      </c>
      <c r="B357" t="s">
        <v>2659</v>
      </c>
      <c r="C357" t="s">
        <v>2727</v>
      </c>
      <c r="D357" t="b">
        <v>0</v>
      </c>
      <c r="F357" s="14">
        <v>2500000</v>
      </c>
      <c r="G357" s="15">
        <f ca="1">TODAY()+121</f>
        <v>44342</v>
      </c>
    </row>
    <row r="358" spans="1:7" x14ac:dyDescent="0.2">
      <c r="A358" s="12" t="s">
        <v>2879</v>
      </c>
      <c r="B358" t="s">
        <v>2880</v>
      </c>
      <c r="C358" t="s">
        <v>2881</v>
      </c>
      <c r="D358" t="b">
        <v>0</v>
      </c>
      <c r="F358" s="14"/>
      <c r="G358" s="15"/>
    </row>
    <row r="359" spans="1:7" x14ac:dyDescent="0.2">
      <c r="A359" s="12" t="s">
        <v>3186</v>
      </c>
      <c r="B359" t="s">
        <v>2615</v>
      </c>
      <c r="C359" t="s">
        <v>2616</v>
      </c>
      <c r="D359" t="b">
        <v>0</v>
      </c>
      <c r="F359" s="14"/>
      <c r="G359" s="15"/>
    </row>
    <row r="360" spans="1:7" x14ac:dyDescent="0.2">
      <c r="A360" s="12" t="s">
        <v>3311</v>
      </c>
      <c r="B360" t="s">
        <v>2920</v>
      </c>
      <c r="C360" t="s">
        <v>2628</v>
      </c>
      <c r="D360" t="b">
        <v>0</v>
      </c>
      <c r="E360" t="s">
        <v>2356</v>
      </c>
      <c r="F360" s="14"/>
      <c r="G360" s="15"/>
    </row>
    <row r="361" spans="1:7" x14ac:dyDescent="0.2">
      <c r="A361" s="12" t="s">
        <v>2765</v>
      </c>
      <c r="B361" t="s">
        <v>2766</v>
      </c>
      <c r="C361" t="s">
        <v>2767</v>
      </c>
      <c r="D361" t="b">
        <v>0</v>
      </c>
      <c r="F361" s="14"/>
      <c r="G361" s="15"/>
    </row>
    <row r="362" spans="1:7" x14ac:dyDescent="0.2">
      <c r="A362" s="12" t="s">
        <v>3181</v>
      </c>
      <c r="B362" t="s">
        <v>2538</v>
      </c>
      <c r="C362" t="s">
        <v>2603</v>
      </c>
      <c r="D362" t="b">
        <v>1</v>
      </c>
      <c r="F362" s="14"/>
      <c r="G362" s="15"/>
    </row>
    <row r="363" spans="1:7" x14ac:dyDescent="0.2">
      <c r="A363" s="12" t="s">
        <v>2360</v>
      </c>
      <c r="B363" t="s">
        <v>2361</v>
      </c>
      <c r="C363" t="s">
        <v>2362</v>
      </c>
      <c r="D363" t="b">
        <v>0</v>
      </c>
      <c r="F363" s="14">
        <v>3100000</v>
      </c>
      <c r="G363" s="15">
        <f ca="1">TODAY()+177</f>
        <v>44398</v>
      </c>
    </row>
    <row r="364" spans="1:7" x14ac:dyDescent="0.2">
      <c r="A364" s="12" t="s">
        <v>3084</v>
      </c>
      <c r="B364" t="s">
        <v>2621</v>
      </c>
      <c r="C364" t="s">
        <v>2891</v>
      </c>
      <c r="D364" t="b">
        <v>0</v>
      </c>
      <c r="F364" s="14">
        <v>3300000</v>
      </c>
      <c r="G364" s="15">
        <f ca="1">TODAY()+70</f>
        <v>44291</v>
      </c>
    </row>
    <row r="365" spans="1:7" x14ac:dyDescent="0.2">
      <c r="A365" s="12" t="s">
        <v>2814</v>
      </c>
      <c r="B365" t="s">
        <v>2674</v>
      </c>
      <c r="C365" t="s">
        <v>2416</v>
      </c>
      <c r="D365" t="b">
        <v>1</v>
      </c>
      <c r="F365" s="14"/>
      <c r="G365" s="15"/>
    </row>
    <row r="366" spans="1:7" x14ac:dyDescent="0.2">
      <c r="A366" s="12" t="s">
        <v>3359</v>
      </c>
      <c r="B366" t="s">
        <v>3000</v>
      </c>
      <c r="C366" t="s">
        <v>2903</v>
      </c>
      <c r="D366" t="b">
        <v>0</v>
      </c>
      <c r="F366" s="14">
        <v>2700000</v>
      </c>
      <c r="G366" s="15">
        <f ca="1">TODAY()+190</f>
        <v>44411</v>
      </c>
    </row>
    <row r="367" spans="1:7" x14ac:dyDescent="0.2">
      <c r="A367" s="12" t="s">
        <v>2683</v>
      </c>
      <c r="B367" t="s">
        <v>2684</v>
      </c>
      <c r="C367" t="s">
        <v>2685</v>
      </c>
      <c r="D367" t="b">
        <v>0</v>
      </c>
      <c r="F367" s="14">
        <v>4800000</v>
      </c>
      <c r="G367" s="15">
        <f ca="1">TODAY()+102</f>
        <v>44323</v>
      </c>
    </row>
    <row r="368" spans="1:7" x14ac:dyDescent="0.2">
      <c r="A368" s="12" t="s">
        <v>3155</v>
      </c>
      <c r="B368" t="s">
        <v>2534</v>
      </c>
      <c r="C368" t="s">
        <v>2320</v>
      </c>
      <c r="D368" t="b">
        <v>0</v>
      </c>
      <c r="F368" s="14">
        <v>3500000</v>
      </c>
      <c r="G368" s="15">
        <f ca="1">TODAY()+282</f>
        <v>44503</v>
      </c>
    </row>
    <row r="369" spans="1:7" x14ac:dyDescent="0.2">
      <c r="A369" s="12" t="s">
        <v>3349</v>
      </c>
      <c r="B369" t="s">
        <v>2978</v>
      </c>
      <c r="C369" t="s">
        <v>2837</v>
      </c>
      <c r="D369" t="b">
        <v>0</v>
      </c>
      <c r="E369" t="s">
        <v>2356</v>
      </c>
      <c r="F369" s="14"/>
      <c r="G369" s="15"/>
    </row>
    <row r="370" spans="1:7" x14ac:dyDescent="0.2">
      <c r="A370" s="12" t="s">
        <v>3323</v>
      </c>
      <c r="B370" t="s">
        <v>2491</v>
      </c>
      <c r="C370" t="s">
        <v>2849</v>
      </c>
      <c r="D370" t="b">
        <v>0</v>
      </c>
      <c r="F370" s="14">
        <v>2400000</v>
      </c>
      <c r="G370" s="15">
        <f ca="1">TODAY()+340</f>
        <v>44561</v>
      </c>
    </row>
    <row r="371" spans="1:7" x14ac:dyDescent="0.2">
      <c r="A371" s="12" t="s">
        <v>3065</v>
      </c>
      <c r="B371" t="s">
        <v>2497</v>
      </c>
      <c r="C371" t="s">
        <v>2809</v>
      </c>
      <c r="D371" t="b">
        <v>0</v>
      </c>
      <c r="F371" s="14">
        <v>1300000</v>
      </c>
      <c r="G371" s="15">
        <f ca="1">TODAY()+280</f>
        <v>44501</v>
      </c>
    </row>
    <row r="372" spans="1:7" x14ac:dyDescent="0.2">
      <c r="A372" s="12" t="s">
        <v>3138</v>
      </c>
      <c r="B372" t="s">
        <v>2345</v>
      </c>
      <c r="C372" t="s">
        <v>2466</v>
      </c>
      <c r="D372" t="b">
        <v>0</v>
      </c>
      <c r="F372" s="14"/>
      <c r="G372" s="15"/>
    </row>
    <row r="373" spans="1:7" x14ac:dyDescent="0.2">
      <c r="A373" s="12" t="s">
        <v>2957</v>
      </c>
      <c r="B373" t="s">
        <v>2958</v>
      </c>
      <c r="C373" t="s">
        <v>2354</v>
      </c>
      <c r="D373" t="b">
        <v>0</v>
      </c>
      <c r="F373" s="14">
        <v>3300000</v>
      </c>
      <c r="G373" s="15">
        <f ca="1">TODAY()+224</f>
        <v>44445</v>
      </c>
    </row>
    <row r="374" spans="1:7" x14ac:dyDescent="0.2">
      <c r="A374" s="12" t="s">
        <v>2647</v>
      </c>
      <c r="B374" t="s">
        <v>2648</v>
      </c>
      <c r="C374" t="s">
        <v>2649</v>
      </c>
      <c r="D374" t="b">
        <v>0</v>
      </c>
      <c r="F374" s="14"/>
      <c r="G374" s="15"/>
    </row>
    <row r="375" spans="1:7" x14ac:dyDescent="0.2">
      <c r="A375" s="12" t="s">
        <v>3231</v>
      </c>
      <c r="B375" t="s">
        <v>2638</v>
      </c>
      <c r="C375" t="s">
        <v>2727</v>
      </c>
      <c r="D375" t="b">
        <v>0</v>
      </c>
      <c r="F375" s="14"/>
      <c r="G375" s="15"/>
    </row>
    <row r="376" spans="1:7" x14ac:dyDescent="0.2">
      <c r="A376" s="12" t="s">
        <v>3034</v>
      </c>
      <c r="B376" t="s">
        <v>2542</v>
      </c>
      <c r="C376" t="s">
        <v>2359</v>
      </c>
      <c r="D376" t="b">
        <v>0</v>
      </c>
      <c r="F376" s="14">
        <v>900000</v>
      </c>
      <c r="G376" s="15">
        <f ca="1">TODAY()+119</f>
        <v>44340</v>
      </c>
    </row>
    <row r="377" spans="1:7" x14ac:dyDescent="0.2">
      <c r="A377" s="12" t="s">
        <v>2947</v>
      </c>
      <c r="B377" t="s">
        <v>2658</v>
      </c>
      <c r="C377" t="s">
        <v>2455</v>
      </c>
      <c r="D377" t="b">
        <v>0</v>
      </c>
      <c r="F377" s="14"/>
      <c r="G377" s="15"/>
    </row>
    <row r="378" spans="1:7" x14ac:dyDescent="0.2">
      <c r="A378" s="12" t="s">
        <v>3362</v>
      </c>
      <c r="B378" t="s">
        <v>2969</v>
      </c>
      <c r="C378" t="s">
        <v>3005</v>
      </c>
      <c r="D378" t="b">
        <v>0</v>
      </c>
      <c r="F378" s="14"/>
      <c r="G378" s="15"/>
    </row>
    <row r="379" spans="1:7" x14ac:dyDescent="0.2">
      <c r="A379" s="12" t="s">
        <v>3172</v>
      </c>
      <c r="B379" t="s">
        <v>2353</v>
      </c>
      <c r="C379" t="s">
        <v>2582</v>
      </c>
      <c r="D379" t="b">
        <v>0</v>
      </c>
      <c r="F379" s="14"/>
      <c r="G379" s="15"/>
    </row>
    <row r="380" spans="1:7" x14ac:dyDescent="0.2">
      <c r="A380" s="12" t="s">
        <v>3055</v>
      </c>
      <c r="B380" t="s">
        <v>2536</v>
      </c>
      <c r="C380" t="s">
        <v>2452</v>
      </c>
      <c r="D380" t="b">
        <v>0</v>
      </c>
      <c r="E380" t="s">
        <v>2356</v>
      </c>
      <c r="F380" s="14"/>
      <c r="G380" s="15"/>
    </row>
    <row r="381" spans="1:7" x14ac:dyDescent="0.2">
      <c r="A381" s="12" t="s">
        <v>3353</v>
      </c>
      <c r="B381" t="s">
        <v>2984</v>
      </c>
      <c r="C381" t="s">
        <v>2985</v>
      </c>
      <c r="D381" t="b">
        <v>0</v>
      </c>
      <c r="F381" s="14"/>
      <c r="G381" s="15"/>
    </row>
    <row r="382" spans="1:7" x14ac:dyDescent="0.2">
      <c r="A382" s="12" t="s">
        <v>3366</v>
      </c>
      <c r="B382" t="s">
        <v>3008</v>
      </c>
      <c r="C382" t="s">
        <v>2549</v>
      </c>
      <c r="D382" t="b">
        <v>0</v>
      </c>
      <c r="F382" s="14"/>
      <c r="G382" s="15"/>
    </row>
    <row r="383" spans="1:7" x14ac:dyDescent="0.2">
      <c r="A383" s="12" t="s">
        <v>2546</v>
      </c>
      <c r="B383" t="s">
        <v>2346</v>
      </c>
      <c r="C383" t="s">
        <v>2547</v>
      </c>
      <c r="D383" t="b">
        <v>0</v>
      </c>
      <c r="F383" s="14">
        <v>4800000</v>
      </c>
      <c r="G383" s="15">
        <f ca="1">TODAY()+101</f>
        <v>44322</v>
      </c>
    </row>
    <row r="384" spans="1:7" x14ac:dyDescent="0.2">
      <c r="A384" s="12" t="s">
        <v>3203</v>
      </c>
      <c r="B384" t="s">
        <v>2657</v>
      </c>
      <c r="C384" t="s">
        <v>2658</v>
      </c>
      <c r="D384" t="b">
        <v>0</v>
      </c>
      <c r="F384" s="14">
        <v>3000000</v>
      </c>
      <c r="G384" s="15">
        <f ca="1">TODAY()+88</f>
        <v>44309</v>
      </c>
    </row>
    <row r="385" spans="1:7" x14ac:dyDescent="0.2">
      <c r="A385" s="12" t="s">
        <v>3167</v>
      </c>
      <c r="B385" t="s">
        <v>2564</v>
      </c>
      <c r="C385" t="s">
        <v>2565</v>
      </c>
      <c r="D385" t="b">
        <v>0</v>
      </c>
      <c r="F385" s="14">
        <v>600000</v>
      </c>
      <c r="G385" s="15">
        <f ca="1">TODAY()+253</f>
        <v>44474</v>
      </c>
    </row>
    <row r="386" spans="1:7" x14ac:dyDescent="0.2">
      <c r="A386" s="12" t="s">
        <v>3177</v>
      </c>
      <c r="B386" t="s">
        <v>2594</v>
      </c>
      <c r="C386" t="s">
        <v>2595</v>
      </c>
      <c r="D386" t="b">
        <v>0</v>
      </c>
      <c r="F386" s="14"/>
      <c r="G386" s="15"/>
    </row>
    <row r="387" spans="1:7" x14ac:dyDescent="0.2">
      <c r="A387" s="12" t="s">
        <v>2909</v>
      </c>
      <c r="B387" t="s">
        <v>2395</v>
      </c>
      <c r="C387" t="s">
        <v>2728</v>
      </c>
      <c r="D387" t="b">
        <v>0</v>
      </c>
      <c r="F387" s="14">
        <v>500000</v>
      </c>
      <c r="G387" s="15">
        <f ca="1">TODAY()+360</f>
        <v>44581</v>
      </c>
    </row>
    <row r="388" spans="1:7" x14ac:dyDescent="0.2">
      <c r="A388" s="12" t="s">
        <v>3071</v>
      </c>
      <c r="B388" t="s">
        <v>2865</v>
      </c>
      <c r="C388" t="s">
        <v>2463</v>
      </c>
      <c r="D388" t="b">
        <v>0</v>
      </c>
      <c r="F388" s="14">
        <v>1000000</v>
      </c>
      <c r="G388" s="15">
        <f ca="1">TODAY()+344</f>
        <v>44565</v>
      </c>
    </row>
    <row r="389" spans="1:7" x14ac:dyDescent="0.2">
      <c r="A389" s="12" t="s">
        <v>2337</v>
      </c>
      <c r="B389" t="s">
        <v>2338</v>
      </c>
      <c r="C389" t="s">
        <v>2339</v>
      </c>
      <c r="D389" t="b">
        <v>0</v>
      </c>
      <c r="F389" s="14"/>
      <c r="G389" s="15"/>
    </row>
    <row r="390" spans="1:7" x14ac:dyDescent="0.2">
      <c r="A390" s="12" t="s">
        <v>3374</v>
      </c>
      <c r="B390" t="s">
        <v>2890</v>
      </c>
      <c r="C390" t="s">
        <v>3013</v>
      </c>
      <c r="D390" t="b">
        <v>0</v>
      </c>
      <c r="F390" s="14"/>
      <c r="G390" s="15"/>
    </row>
    <row r="391" spans="1:7" x14ac:dyDescent="0.2">
      <c r="A391" s="12" t="s">
        <v>3339</v>
      </c>
      <c r="B391" t="s">
        <v>2395</v>
      </c>
      <c r="C391" t="s">
        <v>2961</v>
      </c>
      <c r="D391" t="b">
        <v>0</v>
      </c>
      <c r="F391" s="14"/>
      <c r="G391" s="15"/>
    </row>
    <row r="392" spans="1:7" x14ac:dyDescent="0.2">
      <c r="A392" s="12" t="s">
        <v>2866</v>
      </c>
      <c r="B392" t="s">
        <v>2721</v>
      </c>
      <c r="C392" t="s">
        <v>2374</v>
      </c>
      <c r="D392" t="b">
        <v>0</v>
      </c>
      <c r="F392" s="14"/>
      <c r="G392" s="15"/>
    </row>
    <row r="393" spans="1:7" x14ac:dyDescent="0.2">
      <c r="A393" s="12" t="s">
        <v>3333</v>
      </c>
      <c r="B393" t="s">
        <v>2389</v>
      </c>
      <c r="C393" t="s">
        <v>2952</v>
      </c>
      <c r="D393" t="b">
        <v>0</v>
      </c>
      <c r="F393" s="14"/>
      <c r="G393" s="15"/>
    </row>
    <row r="394" spans="1:7" x14ac:dyDescent="0.2">
      <c r="A394" s="12" t="s">
        <v>3320</v>
      </c>
      <c r="B394" t="s">
        <v>2934</v>
      </c>
      <c r="C394" t="s">
        <v>2509</v>
      </c>
      <c r="D394" t="b">
        <v>1</v>
      </c>
      <c r="F394" s="14">
        <v>400000</v>
      </c>
      <c r="G394" s="15">
        <f ca="1">TODAY()+80</f>
        <v>44301</v>
      </c>
    </row>
    <row r="395" spans="1:7" x14ac:dyDescent="0.2">
      <c r="A395" s="12" t="s">
        <v>2436</v>
      </c>
      <c r="B395" t="s">
        <v>2437</v>
      </c>
      <c r="C395" t="s">
        <v>2438</v>
      </c>
      <c r="D395" t="b">
        <v>1</v>
      </c>
      <c r="F395" s="14">
        <v>3300000</v>
      </c>
      <c r="G395" s="15">
        <f ca="1">TODAY()+335</f>
        <v>44556</v>
      </c>
    </row>
    <row r="396" spans="1:7" x14ac:dyDescent="0.2">
      <c r="A396" s="12" t="s">
        <v>3283</v>
      </c>
      <c r="B396" t="s">
        <v>2764</v>
      </c>
      <c r="C396" t="s">
        <v>2854</v>
      </c>
      <c r="D396" t="b">
        <v>1</v>
      </c>
      <c r="F396" s="14"/>
      <c r="G396" s="15"/>
    </row>
    <row r="397" spans="1:7" x14ac:dyDescent="0.2">
      <c r="A397" s="12" t="s">
        <v>3089</v>
      </c>
      <c r="B397" t="s">
        <v>2939</v>
      </c>
      <c r="C397" t="s">
        <v>2366</v>
      </c>
      <c r="D397" t="b">
        <v>0</v>
      </c>
      <c r="F397" s="14"/>
      <c r="G397" s="15"/>
    </row>
    <row r="398" spans="1:7" x14ac:dyDescent="0.2">
      <c r="A398" s="12" t="s">
        <v>2566</v>
      </c>
      <c r="B398" t="s">
        <v>2567</v>
      </c>
      <c r="C398" t="s">
        <v>2369</v>
      </c>
      <c r="D398" t="b">
        <v>0</v>
      </c>
      <c r="F398" s="14"/>
      <c r="G398" s="15"/>
    </row>
    <row r="399" spans="1:7" x14ac:dyDescent="0.2">
      <c r="A399" s="12" t="s">
        <v>3178</v>
      </c>
      <c r="B399" t="s">
        <v>2399</v>
      </c>
      <c r="C399" t="s">
        <v>2599</v>
      </c>
      <c r="D399" t="b">
        <v>0</v>
      </c>
      <c r="F399" s="14">
        <v>2900000</v>
      </c>
      <c r="G399" s="15">
        <f ca="1">TODAY()+336</f>
        <v>44557</v>
      </c>
    </row>
    <row r="400" spans="1:7" x14ac:dyDescent="0.2">
      <c r="A400" s="12" t="s">
        <v>3030</v>
      </c>
      <c r="B400" t="s">
        <v>2500</v>
      </c>
      <c r="C400" t="s">
        <v>2403</v>
      </c>
      <c r="D400" t="b">
        <v>0</v>
      </c>
      <c r="F400" s="14"/>
      <c r="G400" s="15"/>
    </row>
    <row r="401" spans="1:7" x14ac:dyDescent="0.2">
      <c r="A401" s="12" t="s">
        <v>3001</v>
      </c>
      <c r="B401" t="s">
        <v>2327</v>
      </c>
      <c r="C401" t="s">
        <v>2328</v>
      </c>
      <c r="D401" t="b">
        <v>0</v>
      </c>
      <c r="F401" s="14">
        <v>1500000</v>
      </c>
      <c r="G401" s="15">
        <f ca="1">TODAY()+153</f>
        <v>44374</v>
      </c>
    </row>
    <row r="402" spans="1:7" x14ac:dyDescent="0.2">
      <c r="A402" s="12" t="s">
        <v>3237</v>
      </c>
      <c r="B402" t="s">
        <v>2331</v>
      </c>
      <c r="C402" t="s">
        <v>2733</v>
      </c>
      <c r="D402" t="b">
        <v>0</v>
      </c>
      <c r="F402" s="14"/>
      <c r="G402" s="15"/>
    </row>
    <row r="403" spans="1:7" x14ac:dyDescent="0.2">
      <c r="A403" s="12" t="s">
        <v>3213</v>
      </c>
      <c r="B403" t="s">
        <v>2676</v>
      </c>
      <c r="C403" t="s">
        <v>2366</v>
      </c>
      <c r="D403" t="b">
        <v>0</v>
      </c>
      <c r="F403" s="14"/>
      <c r="G403" s="15"/>
    </row>
    <row r="404" spans="1:7" x14ac:dyDescent="0.2">
      <c r="A404" s="12" t="s">
        <v>2908</v>
      </c>
      <c r="B404" t="s">
        <v>2550</v>
      </c>
      <c r="C404" t="s">
        <v>2516</v>
      </c>
      <c r="D404" t="b">
        <v>0</v>
      </c>
      <c r="F404" s="14"/>
      <c r="G404" s="15"/>
    </row>
    <row r="405" spans="1:7" x14ac:dyDescent="0.2">
      <c r="A405" s="12" t="s">
        <v>3368</v>
      </c>
      <c r="B405" t="s">
        <v>2630</v>
      </c>
      <c r="C405" t="s">
        <v>2628</v>
      </c>
      <c r="D405" t="b">
        <v>0</v>
      </c>
      <c r="F405" s="14">
        <v>4600000</v>
      </c>
      <c r="G405" s="15">
        <f ca="1">TODAY()+79</f>
        <v>44300</v>
      </c>
    </row>
    <row r="406" spans="1:7" x14ac:dyDescent="0.2">
      <c r="A406" s="12" t="s">
        <v>3106</v>
      </c>
      <c r="B406" t="s">
        <v>2325</v>
      </c>
      <c r="C406" t="s">
        <v>2326</v>
      </c>
      <c r="D406" t="b">
        <v>0</v>
      </c>
      <c r="F406" s="14">
        <v>1000000</v>
      </c>
      <c r="G406" s="15">
        <f ca="1">TODAY()+199</f>
        <v>44420</v>
      </c>
    </row>
    <row r="407" spans="1:7" x14ac:dyDescent="0.2">
      <c r="A407" s="12" t="s">
        <v>2811</v>
      </c>
      <c r="B407" t="s">
        <v>2812</v>
      </c>
      <c r="C407" t="s">
        <v>2731</v>
      </c>
      <c r="D407" t="b">
        <v>0</v>
      </c>
      <c r="F407" s="14">
        <v>3400000</v>
      </c>
      <c r="G407" s="15">
        <f ca="1">TODAY()+154</f>
        <v>44375</v>
      </c>
    </row>
    <row r="408" spans="1:7" x14ac:dyDescent="0.2">
      <c r="A408" s="12" t="s">
        <v>2989</v>
      </c>
      <c r="B408" t="s">
        <v>2990</v>
      </c>
      <c r="C408" t="s">
        <v>2605</v>
      </c>
      <c r="D408" t="b">
        <v>0</v>
      </c>
      <c r="F408" s="14"/>
      <c r="G408" s="15"/>
    </row>
    <row r="409" spans="1:7" x14ac:dyDescent="0.2">
      <c r="A409" s="12" t="s">
        <v>3163</v>
      </c>
      <c r="B409" t="s">
        <v>2554</v>
      </c>
      <c r="C409" t="s">
        <v>2555</v>
      </c>
      <c r="D409" t="b">
        <v>0</v>
      </c>
      <c r="F409" s="14"/>
      <c r="G409" s="15"/>
    </row>
    <row r="410" spans="1:7" x14ac:dyDescent="0.2">
      <c r="A410" s="12" t="s">
        <v>3121</v>
      </c>
      <c r="B410" t="s">
        <v>2383</v>
      </c>
      <c r="C410" t="s">
        <v>2384</v>
      </c>
      <c r="D410" t="b">
        <v>0</v>
      </c>
      <c r="F410" s="14">
        <v>2900000</v>
      </c>
      <c r="G410" s="15">
        <f ca="1">TODAY()+335</f>
        <v>44556</v>
      </c>
    </row>
    <row r="411" spans="1:7" x14ac:dyDescent="0.2">
      <c r="A411" s="12" t="s">
        <v>3175</v>
      </c>
      <c r="B411" t="s">
        <v>2592</v>
      </c>
      <c r="C411" t="s">
        <v>2295</v>
      </c>
      <c r="D411" t="b">
        <v>1</v>
      </c>
      <c r="F411" s="14">
        <v>3200000</v>
      </c>
      <c r="G411" s="15">
        <f ca="1">TODAY()+314</f>
        <v>44535</v>
      </c>
    </row>
    <row r="412" spans="1:7" x14ac:dyDescent="0.2">
      <c r="A412" s="12" t="s">
        <v>2793</v>
      </c>
      <c r="B412" t="s">
        <v>2679</v>
      </c>
      <c r="C412" t="s">
        <v>2794</v>
      </c>
      <c r="D412" t="b">
        <v>0</v>
      </c>
      <c r="F412" s="14">
        <v>5000000</v>
      </c>
      <c r="G412" s="15">
        <f ca="1">TODAY()+164</f>
        <v>44385</v>
      </c>
    </row>
    <row r="413" spans="1:7" x14ac:dyDescent="0.2">
      <c r="A413" s="12" t="s">
        <v>3347</v>
      </c>
      <c r="B413" t="s">
        <v>2971</v>
      </c>
      <c r="C413" t="s">
        <v>2804</v>
      </c>
      <c r="D413" t="b">
        <v>0</v>
      </c>
      <c r="F413" s="14"/>
      <c r="G413" s="15"/>
    </row>
    <row r="414" spans="1:7" x14ac:dyDescent="0.2">
      <c r="A414" s="12" t="s">
        <v>2937</v>
      </c>
      <c r="B414" t="s">
        <v>2938</v>
      </c>
      <c r="C414" t="s">
        <v>2612</v>
      </c>
      <c r="D414" t="b">
        <v>0</v>
      </c>
      <c r="F414" s="14">
        <v>3500000</v>
      </c>
      <c r="G414" s="15">
        <f ca="1">TODAY()+101</f>
        <v>44322</v>
      </c>
    </row>
    <row r="415" spans="1:7" x14ac:dyDescent="0.2">
      <c r="A415" s="12" t="s">
        <v>3117</v>
      </c>
      <c r="B415" t="s">
        <v>2363</v>
      </c>
      <c r="C415" t="s">
        <v>2364</v>
      </c>
      <c r="D415" t="b">
        <v>0</v>
      </c>
      <c r="F415" s="14"/>
      <c r="G415" s="15"/>
    </row>
    <row r="416" spans="1:7" x14ac:dyDescent="0.2">
      <c r="A416" s="12" t="s">
        <v>3043</v>
      </c>
      <c r="B416" t="s">
        <v>2669</v>
      </c>
      <c r="C416" t="s">
        <v>2513</v>
      </c>
      <c r="D416" t="b">
        <v>0</v>
      </c>
      <c r="F416" s="14">
        <v>1200000</v>
      </c>
      <c r="G416" s="15">
        <f ca="1">TODAY()+345</f>
        <v>44566</v>
      </c>
    </row>
    <row r="417" spans="1:7" x14ac:dyDescent="0.2">
      <c r="A417" s="12" t="s">
        <v>2807</v>
      </c>
      <c r="B417" t="s">
        <v>2379</v>
      </c>
      <c r="C417" t="s">
        <v>2808</v>
      </c>
      <c r="D417" t="b">
        <v>0</v>
      </c>
      <c r="F417" s="14"/>
      <c r="G417" s="15"/>
    </row>
    <row r="418" spans="1:7" x14ac:dyDescent="0.2">
      <c r="A418" s="12" t="s">
        <v>2439</v>
      </c>
      <c r="B418" t="s">
        <v>2440</v>
      </c>
      <c r="C418" t="s">
        <v>2441</v>
      </c>
      <c r="D418" t="b">
        <v>0</v>
      </c>
      <c r="F418" s="14"/>
      <c r="G418" s="15"/>
    </row>
    <row r="419" spans="1:7" x14ac:dyDescent="0.2">
      <c r="A419" s="12" t="s">
        <v>3189</v>
      </c>
      <c r="B419" t="s">
        <v>2594</v>
      </c>
      <c r="C419" t="s">
        <v>2392</v>
      </c>
      <c r="D419" t="b">
        <v>0</v>
      </c>
      <c r="F419" s="14"/>
      <c r="G419" s="15"/>
    </row>
    <row r="420" spans="1:7" x14ac:dyDescent="0.2">
      <c r="A420" s="12" t="s">
        <v>2870</v>
      </c>
      <c r="B420" t="s">
        <v>2871</v>
      </c>
      <c r="C420" t="s">
        <v>2341</v>
      </c>
      <c r="D420" t="b">
        <v>0</v>
      </c>
      <c r="F420" s="14"/>
      <c r="G420" s="15"/>
    </row>
    <row r="421" spans="1:7" x14ac:dyDescent="0.2">
      <c r="A421" s="12" t="s">
        <v>3022</v>
      </c>
      <c r="B421" t="s">
        <v>2406</v>
      </c>
      <c r="C421" t="s">
        <v>2407</v>
      </c>
      <c r="D421" t="b">
        <v>0</v>
      </c>
      <c r="F421" s="14"/>
      <c r="G421" s="15"/>
    </row>
    <row r="422" spans="1:7" x14ac:dyDescent="0.2">
      <c r="A422" s="12" t="s">
        <v>3166</v>
      </c>
      <c r="B422" t="s">
        <v>2562</v>
      </c>
      <c r="C422" t="s">
        <v>2563</v>
      </c>
      <c r="D422" t="b">
        <v>0</v>
      </c>
      <c r="F422" s="14">
        <v>300000</v>
      </c>
      <c r="G422" s="15">
        <f ca="1">TODAY()+106</f>
        <v>44327</v>
      </c>
    </row>
    <row r="423" spans="1:7" x14ac:dyDescent="0.2">
      <c r="A423" s="12" t="s">
        <v>2445</v>
      </c>
      <c r="B423" t="s">
        <v>2446</v>
      </c>
      <c r="C423" t="s">
        <v>2447</v>
      </c>
      <c r="D423" t="b">
        <v>1</v>
      </c>
      <c r="F423" s="14">
        <v>2500000</v>
      </c>
      <c r="G423" s="15">
        <f ca="1">TODAY()+352</f>
        <v>44573</v>
      </c>
    </row>
    <row r="424" spans="1:7" x14ac:dyDescent="0.2">
      <c r="A424" s="12" t="s">
        <v>3295</v>
      </c>
      <c r="B424" t="s">
        <v>2890</v>
      </c>
      <c r="C424" t="s">
        <v>2891</v>
      </c>
      <c r="D424" t="b">
        <v>0</v>
      </c>
      <c r="F424" s="14">
        <v>4300000</v>
      </c>
      <c r="G424" s="15">
        <f ca="1">TODAY()+224</f>
        <v>44445</v>
      </c>
    </row>
    <row r="425" spans="1:7" x14ac:dyDescent="0.2">
      <c r="A425" s="12" t="s">
        <v>3230</v>
      </c>
      <c r="B425" t="s">
        <v>2716</v>
      </c>
      <c r="C425" t="s">
        <v>2717</v>
      </c>
      <c r="D425" t="b">
        <v>0</v>
      </c>
      <c r="F425" s="14"/>
      <c r="G425" s="15"/>
    </row>
    <row r="426" spans="1:7" x14ac:dyDescent="0.2">
      <c r="A426" s="12" t="s">
        <v>2496</v>
      </c>
      <c r="B426" t="s">
        <v>3004</v>
      </c>
      <c r="C426" t="s">
        <v>2911</v>
      </c>
      <c r="D426" t="b">
        <v>0</v>
      </c>
      <c r="F426" s="14"/>
      <c r="G426" s="15"/>
    </row>
    <row r="427" spans="1:7" x14ac:dyDescent="0.2">
      <c r="A427" s="12" t="s">
        <v>3190</v>
      </c>
      <c r="B427" t="s">
        <v>2625</v>
      </c>
      <c r="C427" t="s">
        <v>2366</v>
      </c>
      <c r="D427" t="b">
        <v>0</v>
      </c>
      <c r="F427" s="14"/>
      <c r="G427" s="15"/>
    </row>
    <row r="428" spans="1:7" x14ac:dyDescent="0.2">
      <c r="A428" s="12" t="s">
        <v>2427</v>
      </c>
      <c r="B428" t="s">
        <v>2428</v>
      </c>
      <c r="C428" t="s">
        <v>2429</v>
      </c>
      <c r="D428" t="b">
        <v>0</v>
      </c>
      <c r="F428" s="14">
        <v>400000</v>
      </c>
      <c r="G428" s="15">
        <f ca="1">TODAY()+287</f>
        <v>44508</v>
      </c>
    </row>
    <row r="429" spans="1:7" x14ac:dyDescent="0.2">
      <c r="A429" s="12" t="s">
        <v>3288</v>
      </c>
      <c r="B429" t="s">
        <v>2816</v>
      </c>
      <c r="C429" t="s">
        <v>2585</v>
      </c>
      <c r="D429" t="b">
        <v>1</v>
      </c>
      <c r="F429" s="14"/>
      <c r="G429" s="15"/>
    </row>
    <row r="430" spans="1:7" x14ac:dyDescent="0.2">
      <c r="A430" s="12" t="s">
        <v>3176</v>
      </c>
      <c r="B430" t="s">
        <v>2593</v>
      </c>
      <c r="C430" t="s">
        <v>2350</v>
      </c>
      <c r="D430" t="b">
        <v>0</v>
      </c>
      <c r="F430" s="14"/>
      <c r="G430" s="15"/>
    </row>
    <row r="431" spans="1:7" x14ac:dyDescent="0.2">
      <c r="A431" s="12" t="s">
        <v>3268</v>
      </c>
      <c r="B431" t="s">
        <v>2805</v>
      </c>
      <c r="C431" t="s">
        <v>2376</v>
      </c>
      <c r="D431" t="b">
        <v>0</v>
      </c>
      <c r="F431" s="14"/>
      <c r="G431" s="15"/>
    </row>
    <row r="432" spans="1:7" x14ac:dyDescent="0.2">
      <c r="A432" s="12" t="s">
        <v>2737</v>
      </c>
      <c r="B432" t="s">
        <v>2593</v>
      </c>
      <c r="C432" t="s">
        <v>2655</v>
      </c>
      <c r="D432" t="b">
        <v>1</v>
      </c>
      <c r="E432" t="s">
        <v>2356</v>
      </c>
      <c r="F432" s="14">
        <v>700000</v>
      </c>
      <c r="G432" s="15">
        <f ca="1">TODAY()+346</f>
        <v>44567</v>
      </c>
    </row>
    <row r="433" spans="1:7" x14ac:dyDescent="0.2">
      <c r="A433" s="12" t="s">
        <v>3179</v>
      </c>
      <c r="B433" t="s">
        <v>2600</v>
      </c>
      <c r="C433" t="s">
        <v>2570</v>
      </c>
      <c r="D433" t="b">
        <v>0</v>
      </c>
      <c r="F433" s="14"/>
      <c r="G433" s="15"/>
    </row>
    <row r="434" spans="1:7" x14ac:dyDescent="0.2">
      <c r="A434" s="12" t="s">
        <v>3068</v>
      </c>
      <c r="B434" t="s">
        <v>2333</v>
      </c>
      <c r="C434" t="s">
        <v>2843</v>
      </c>
      <c r="D434" t="b">
        <v>0</v>
      </c>
      <c r="F434" s="14"/>
      <c r="G434" s="15"/>
    </row>
    <row r="435" spans="1:7" x14ac:dyDescent="0.2">
      <c r="A435" s="12" t="s">
        <v>3101</v>
      </c>
      <c r="B435" t="s">
        <v>2323</v>
      </c>
      <c r="C435" t="s">
        <v>2991</v>
      </c>
      <c r="D435" t="b">
        <v>1</v>
      </c>
      <c r="F435" s="14">
        <v>2900000</v>
      </c>
      <c r="G435" s="15">
        <f ca="1">TODAY()+68</f>
        <v>44289</v>
      </c>
    </row>
    <row r="436" spans="1:7" x14ac:dyDescent="0.2">
      <c r="A436" s="12" t="s">
        <v>2578</v>
      </c>
      <c r="B436" t="s">
        <v>2579</v>
      </c>
      <c r="C436" t="s">
        <v>2407</v>
      </c>
      <c r="D436" t="b">
        <v>0</v>
      </c>
      <c r="F436" s="14"/>
      <c r="G436" s="15"/>
    </row>
    <row r="437" spans="1:7" x14ac:dyDescent="0.2">
      <c r="A437" s="12" t="s">
        <v>3042</v>
      </c>
      <c r="B437" t="s">
        <v>2636</v>
      </c>
      <c r="C437" t="s">
        <v>2334</v>
      </c>
      <c r="D437" t="b">
        <v>0</v>
      </c>
      <c r="F437" s="14">
        <v>3200000</v>
      </c>
      <c r="G437" s="15">
        <f ca="1">TODAY()+173</f>
        <v>44394</v>
      </c>
    </row>
    <row r="438" spans="1:7" x14ac:dyDescent="0.2">
      <c r="A438" s="12" t="s">
        <v>2878</v>
      </c>
      <c r="B438" t="s">
        <v>2484</v>
      </c>
      <c r="C438" t="s">
        <v>2558</v>
      </c>
      <c r="D438" t="b">
        <v>0</v>
      </c>
      <c r="F438" s="14"/>
      <c r="G438" s="15"/>
    </row>
    <row r="439" spans="1:7" x14ac:dyDescent="0.2">
      <c r="A439" s="12" t="s">
        <v>3327</v>
      </c>
      <c r="B439" t="s">
        <v>2656</v>
      </c>
      <c r="C439" t="s">
        <v>2940</v>
      </c>
      <c r="D439" t="b">
        <v>0</v>
      </c>
      <c r="F439" s="14">
        <v>4100000</v>
      </c>
      <c r="G439" s="15">
        <f ca="1">TODAY()+267</f>
        <v>44488</v>
      </c>
    </row>
    <row r="440" spans="1:7" x14ac:dyDescent="0.2">
      <c r="A440" s="12" t="s">
        <v>3372</v>
      </c>
      <c r="B440" t="s">
        <v>2632</v>
      </c>
      <c r="C440" t="s">
        <v>2649</v>
      </c>
      <c r="D440" t="b">
        <v>1</v>
      </c>
      <c r="F440" s="14"/>
      <c r="G440" s="15"/>
    </row>
    <row r="441" spans="1:7" x14ac:dyDescent="0.2">
      <c r="A441" s="12" t="s">
        <v>3057</v>
      </c>
      <c r="B441" t="s">
        <v>2559</v>
      </c>
      <c r="C441" t="s">
        <v>2560</v>
      </c>
      <c r="D441" t="b">
        <v>0</v>
      </c>
      <c r="F441" s="14"/>
      <c r="G441" s="15"/>
    </row>
    <row r="442" spans="1:7" x14ac:dyDescent="0.2">
      <c r="A442" s="12" t="s">
        <v>3329</v>
      </c>
      <c r="B442" t="s">
        <v>2942</v>
      </c>
      <c r="C442" t="s">
        <v>2708</v>
      </c>
      <c r="D442" t="b">
        <v>1</v>
      </c>
      <c r="F442" s="14"/>
      <c r="G442" s="15"/>
    </row>
    <row r="443" spans="1:7" x14ac:dyDescent="0.2">
      <c r="A443" s="12" t="s">
        <v>3074</v>
      </c>
      <c r="B443" t="s">
        <v>2883</v>
      </c>
      <c r="C443" t="s">
        <v>2671</v>
      </c>
      <c r="D443" t="b">
        <v>0</v>
      </c>
      <c r="F443" s="14"/>
      <c r="G443" s="15"/>
    </row>
    <row r="444" spans="1:7" x14ac:dyDescent="0.2">
      <c r="A444" s="12" t="s">
        <v>3025</v>
      </c>
      <c r="B444" t="s">
        <v>2422</v>
      </c>
      <c r="C444" t="s">
        <v>2423</v>
      </c>
      <c r="D444" t="b">
        <v>1</v>
      </c>
      <c r="F444" s="14"/>
      <c r="G444" s="15"/>
    </row>
    <row r="445" spans="1:7" x14ac:dyDescent="0.2">
      <c r="A445" s="12" t="s">
        <v>3278</v>
      </c>
      <c r="B445" t="s">
        <v>2623</v>
      </c>
      <c r="C445" t="s">
        <v>2392</v>
      </c>
      <c r="D445" t="b">
        <v>0</v>
      </c>
      <c r="F445" s="14"/>
      <c r="G445" s="15"/>
    </row>
    <row r="446" spans="1:7" x14ac:dyDescent="0.2">
      <c r="A446" s="12" t="s">
        <v>3297</v>
      </c>
      <c r="B446" t="s">
        <v>2327</v>
      </c>
      <c r="C446" t="s">
        <v>2426</v>
      </c>
      <c r="D446" t="b">
        <v>0</v>
      </c>
      <c r="F446" s="14">
        <v>4600000</v>
      </c>
      <c r="G446" s="15">
        <f ca="1">TODAY()+97</f>
        <v>44318</v>
      </c>
    </row>
    <row r="447" spans="1:7" x14ac:dyDescent="0.2">
      <c r="A447" s="12" t="s">
        <v>3293</v>
      </c>
      <c r="B447" t="s">
        <v>2884</v>
      </c>
      <c r="C447" t="s">
        <v>2885</v>
      </c>
      <c r="D447" t="b">
        <v>0</v>
      </c>
      <c r="F447" s="14"/>
      <c r="G447" s="15"/>
    </row>
    <row r="448" spans="1:7" x14ac:dyDescent="0.2">
      <c r="A448" s="12" t="s">
        <v>3069</v>
      </c>
      <c r="B448" t="s">
        <v>3002</v>
      </c>
      <c r="C448" t="s">
        <v>2392</v>
      </c>
      <c r="D448" t="b">
        <v>1</v>
      </c>
      <c r="F448" s="14">
        <v>3400000</v>
      </c>
      <c r="G448" s="15">
        <f ca="1">TODAY()+273</f>
        <v>44494</v>
      </c>
    </row>
    <row r="449" spans="1:7" x14ac:dyDescent="0.2">
      <c r="A449" s="12" t="s">
        <v>3146</v>
      </c>
      <c r="B449" t="s">
        <v>2335</v>
      </c>
      <c r="C449" t="s">
        <v>2413</v>
      </c>
      <c r="D449" t="b">
        <v>0</v>
      </c>
      <c r="F449" s="14"/>
      <c r="G449" s="15"/>
    </row>
    <row r="450" spans="1:7" x14ac:dyDescent="0.2">
      <c r="A450" s="12" t="s">
        <v>2535</v>
      </c>
      <c r="B450" t="s">
        <v>2536</v>
      </c>
      <c r="C450" t="s">
        <v>2537</v>
      </c>
      <c r="D450" t="b">
        <v>0</v>
      </c>
      <c r="F450" s="14"/>
      <c r="G450" s="15"/>
    </row>
    <row r="451" spans="1:7" x14ac:dyDescent="0.2">
      <c r="A451" s="12" t="s">
        <v>3076</v>
      </c>
      <c r="B451" t="s">
        <v>2889</v>
      </c>
      <c r="C451" t="s">
        <v>2420</v>
      </c>
      <c r="D451" t="b">
        <v>0</v>
      </c>
      <c r="F451" s="14"/>
      <c r="G451" s="15"/>
    </row>
    <row r="452" spans="1:7" x14ac:dyDescent="0.2">
      <c r="A452" s="12" t="s">
        <v>3075</v>
      </c>
      <c r="B452" t="s">
        <v>2888</v>
      </c>
      <c r="C452" t="s">
        <v>2831</v>
      </c>
      <c r="D452" t="b">
        <v>1</v>
      </c>
      <c r="F452" s="14">
        <v>3200000</v>
      </c>
      <c r="G452" s="15">
        <f ca="1">TODAY()+215</f>
        <v>44436</v>
      </c>
    </row>
    <row r="453" spans="1:7" x14ac:dyDescent="0.2">
      <c r="A453" s="12" t="s">
        <v>2442</v>
      </c>
      <c r="B453" t="s">
        <v>2443</v>
      </c>
      <c r="C453" t="s">
        <v>2444</v>
      </c>
      <c r="D453" t="b">
        <v>0</v>
      </c>
      <c r="F453" s="14">
        <v>400000</v>
      </c>
      <c r="G453" s="15">
        <f ca="1">TODAY()+336</f>
        <v>44557</v>
      </c>
    </row>
    <row r="454" spans="1:7" x14ac:dyDescent="0.2">
      <c r="A454" s="12" t="s">
        <v>3099</v>
      </c>
      <c r="B454" t="s">
        <v>2823</v>
      </c>
      <c r="C454" t="s">
        <v>2343</v>
      </c>
      <c r="D454" t="b">
        <v>0</v>
      </c>
      <c r="F454" s="14"/>
      <c r="G454" s="15"/>
    </row>
    <row r="455" spans="1:7" x14ac:dyDescent="0.2">
      <c r="A455" s="12" t="s">
        <v>2996</v>
      </c>
      <c r="B455" t="s">
        <v>2997</v>
      </c>
      <c r="C455" t="s">
        <v>2998</v>
      </c>
      <c r="D455" t="b">
        <v>0</v>
      </c>
      <c r="F455" s="14">
        <v>3200000</v>
      </c>
      <c r="G455" s="15">
        <f ca="1">TODAY()+305</f>
        <v>44526</v>
      </c>
    </row>
    <row r="456" spans="1:7" x14ac:dyDescent="0.2">
      <c r="A456" s="12" t="s">
        <v>2434</v>
      </c>
      <c r="B456" t="s">
        <v>2435</v>
      </c>
      <c r="C456" t="s">
        <v>2330</v>
      </c>
      <c r="D456" t="b">
        <v>0</v>
      </c>
      <c r="F456" s="14"/>
      <c r="G456" s="15"/>
    </row>
    <row r="457" spans="1:7" x14ac:dyDescent="0.2">
      <c r="A457" s="12" t="s">
        <v>3098</v>
      </c>
      <c r="B457" t="s">
        <v>2779</v>
      </c>
      <c r="C457" t="s">
        <v>2843</v>
      </c>
      <c r="D457" t="b">
        <v>0</v>
      </c>
      <c r="F457" s="14">
        <v>3800000</v>
      </c>
      <c r="G457" s="15">
        <f ca="1">TODAY()+215</f>
        <v>44436</v>
      </c>
    </row>
    <row r="458" spans="1:7" x14ac:dyDescent="0.2">
      <c r="A458" s="12" t="s">
        <v>3215</v>
      </c>
      <c r="B458" t="s">
        <v>2678</v>
      </c>
      <c r="C458" t="s">
        <v>2413</v>
      </c>
      <c r="D458" t="b">
        <v>1</v>
      </c>
      <c r="F458" s="14"/>
      <c r="G458" s="15"/>
    </row>
    <row r="459" spans="1:7" x14ac:dyDescent="0.2">
      <c r="A459" s="12" t="s">
        <v>3112</v>
      </c>
      <c r="B459" t="s">
        <v>2914</v>
      </c>
      <c r="C459" t="s">
        <v>2915</v>
      </c>
      <c r="D459" t="b">
        <v>0</v>
      </c>
      <c r="F459" s="14"/>
      <c r="G459" s="15"/>
    </row>
    <row r="460" spans="1:7" x14ac:dyDescent="0.2">
      <c r="A460" s="12" t="s">
        <v>3352</v>
      </c>
      <c r="B460" t="s">
        <v>2982</v>
      </c>
      <c r="C460" t="s">
        <v>2618</v>
      </c>
      <c r="D460" t="b">
        <v>0</v>
      </c>
      <c r="F460" s="14"/>
      <c r="G460" s="15"/>
    </row>
    <row r="461" spans="1:7" x14ac:dyDescent="0.2">
      <c r="A461" s="12" t="s">
        <v>3271</v>
      </c>
      <c r="B461" t="s">
        <v>2800</v>
      </c>
      <c r="C461" t="s">
        <v>2622</v>
      </c>
      <c r="D461" t="b">
        <v>0</v>
      </c>
      <c r="F461" s="14"/>
      <c r="G461" s="15"/>
    </row>
    <row r="462" spans="1:7" x14ac:dyDescent="0.2">
      <c r="A462" s="12" t="s">
        <v>2552</v>
      </c>
      <c r="B462" t="s">
        <v>2323</v>
      </c>
      <c r="C462" t="s">
        <v>2553</v>
      </c>
      <c r="D462" t="b">
        <v>0</v>
      </c>
      <c r="F462" s="14">
        <v>100000</v>
      </c>
      <c r="G462" s="15">
        <f ca="1">TODAY()+75</f>
        <v>44296</v>
      </c>
    </row>
    <row r="463" spans="1:7" x14ac:dyDescent="0.2">
      <c r="A463" s="12" t="s">
        <v>3035</v>
      </c>
      <c r="B463" t="s">
        <v>2414</v>
      </c>
      <c r="C463" t="s">
        <v>2545</v>
      </c>
      <c r="D463" t="b">
        <v>0</v>
      </c>
      <c r="E463" t="s">
        <v>2356</v>
      </c>
      <c r="F463" s="14"/>
      <c r="G463" s="15"/>
    </row>
    <row r="464" spans="1:7" x14ac:dyDescent="0.2">
      <c r="A464" s="12" t="s">
        <v>3340</v>
      </c>
      <c r="B464" t="s">
        <v>2577</v>
      </c>
      <c r="C464" t="s">
        <v>2610</v>
      </c>
      <c r="D464" t="b">
        <v>1</v>
      </c>
      <c r="F464" s="14">
        <v>4100000</v>
      </c>
      <c r="G464" s="15">
        <f ca="1">TODAY()+220</f>
        <v>44441</v>
      </c>
    </row>
    <row r="465" spans="1:7" x14ac:dyDescent="0.2">
      <c r="A465" s="12" t="s">
        <v>2977</v>
      </c>
      <c r="B465" t="s">
        <v>2869</v>
      </c>
      <c r="C465" t="s">
        <v>2772</v>
      </c>
      <c r="D465" t="b">
        <v>0</v>
      </c>
      <c r="F465" s="14">
        <v>4500000</v>
      </c>
      <c r="G465" s="15">
        <f ca="1">TODAY()+164</f>
        <v>44385</v>
      </c>
    </row>
    <row r="466" spans="1:7" x14ac:dyDescent="0.2">
      <c r="A466" s="12" t="s">
        <v>2876</v>
      </c>
      <c r="B466" t="s">
        <v>2877</v>
      </c>
      <c r="C466" t="s">
        <v>2682</v>
      </c>
      <c r="D466" t="b">
        <v>0</v>
      </c>
      <c r="F466" s="14"/>
      <c r="G466" s="15"/>
    </row>
    <row r="467" spans="1:7" x14ac:dyDescent="0.2">
      <c r="A467" s="12" t="s">
        <v>3313</v>
      </c>
      <c r="B467" t="s">
        <v>2502</v>
      </c>
      <c r="C467" t="s">
        <v>2660</v>
      </c>
      <c r="D467" t="b">
        <v>0</v>
      </c>
      <c r="F467" s="14"/>
      <c r="G467" s="15"/>
    </row>
    <row r="468" spans="1:7" x14ac:dyDescent="0.2">
      <c r="A468" s="12" t="s">
        <v>2514</v>
      </c>
      <c r="B468" t="s">
        <v>2515</v>
      </c>
      <c r="C468" t="s">
        <v>2516</v>
      </c>
      <c r="D468" t="b">
        <v>0</v>
      </c>
      <c r="F468" s="14">
        <v>2600000</v>
      </c>
      <c r="G468" s="15">
        <f ca="1">TODAY()+222</f>
        <v>44443</v>
      </c>
    </row>
    <row r="469" spans="1:7" x14ac:dyDescent="0.2">
      <c r="A469" s="12" t="s">
        <v>3152</v>
      </c>
      <c r="B469" t="s">
        <v>2517</v>
      </c>
      <c r="C469" t="s">
        <v>2447</v>
      </c>
      <c r="D469" t="b">
        <v>1</v>
      </c>
      <c r="F469" s="14"/>
      <c r="G469" s="15"/>
    </row>
    <row r="470" spans="1:7" x14ac:dyDescent="0.2">
      <c r="A470" s="12" t="s">
        <v>2822</v>
      </c>
      <c r="B470" t="s">
        <v>2823</v>
      </c>
      <c r="C470" t="s">
        <v>2824</v>
      </c>
      <c r="D470" t="b">
        <v>0</v>
      </c>
      <c r="F470" s="14">
        <v>2300000</v>
      </c>
      <c r="G470" s="15">
        <f ca="1">TODAY()+359</f>
        <v>44580</v>
      </c>
    </row>
    <row r="471" spans="1:7" x14ac:dyDescent="0.2">
      <c r="A471" s="12" t="s">
        <v>3342</v>
      </c>
      <c r="B471" t="s">
        <v>2803</v>
      </c>
      <c r="C471" t="s">
        <v>2887</v>
      </c>
      <c r="D471" t="b">
        <v>0</v>
      </c>
      <c r="F471" s="14">
        <v>2200000</v>
      </c>
      <c r="G471" s="15">
        <f ca="1">TODAY()+68</f>
        <v>44289</v>
      </c>
    </row>
    <row r="472" spans="1:7" x14ac:dyDescent="0.2">
      <c r="A472" s="12" t="s">
        <v>3207</v>
      </c>
      <c r="B472" t="s">
        <v>2651</v>
      </c>
      <c r="C472" t="s">
        <v>2663</v>
      </c>
      <c r="D472" t="b">
        <v>1</v>
      </c>
      <c r="F472" s="14">
        <v>1700000</v>
      </c>
      <c r="G472" s="15">
        <f ca="1">TODAY()+110</f>
        <v>44331</v>
      </c>
    </row>
    <row r="473" spans="1:7" x14ac:dyDescent="0.2">
      <c r="A473" s="12" t="s">
        <v>3227</v>
      </c>
      <c r="B473" t="s">
        <v>2580</v>
      </c>
      <c r="C473" t="s">
        <v>2706</v>
      </c>
      <c r="D473" t="b">
        <v>0</v>
      </c>
      <c r="F473" s="14"/>
      <c r="G473" s="15"/>
    </row>
    <row r="474" spans="1:7" x14ac:dyDescent="0.2">
      <c r="A474" s="12" t="s">
        <v>3053</v>
      </c>
      <c r="B474" t="s">
        <v>2669</v>
      </c>
      <c r="C474" t="s">
        <v>2404</v>
      </c>
      <c r="D474" t="b">
        <v>1</v>
      </c>
      <c r="F474" s="14"/>
      <c r="G474" s="15"/>
    </row>
    <row r="475" spans="1:7" x14ac:dyDescent="0.2">
      <c r="A475" s="12" t="s">
        <v>2480</v>
      </c>
      <c r="B475" t="s">
        <v>2481</v>
      </c>
      <c r="C475" t="s">
        <v>2482</v>
      </c>
      <c r="D475" t="b">
        <v>0</v>
      </c>
      <c r="F475" s="14"/>
      <c r="G475" s="15"/>
    </row>
    <row r="476" spans="1:7" x14ac:dyDescent="0.2">
      <c r="A476" s="12" t="s">
        <v>3321</v>
      </c>
      <c r="B476" t="s">
        <v>2688</v>
      </c>
      <c r="C476" t="s">
        <v>2698</v>
      </c>
      <c r="D476" t="b">
        <v>0</v>
      </c>
      <c r="F476" s="14"/>
      <c r="G476" s="15"/>
    </row>
    <row r="477" spans="1:7" x14ac:dyDescent="0.2">
      <c r="A477" s="12" t="s">
        <v>3223</v>
      </c>
      <c r="B477" t="s">
        <v>2409</v>
      </c>
      <c r="C477" t="s">
        <v>2698</v>
      </c>
      <c r="D477" t="b">
        <v>0</v>
      </c>
      <c r="F477" s="14">
        <v>3900000</v>
      </c>
      <c r="G477" s="15">
        <f ca="1">TODAY()+356</f>
        <v>44577</v>
      </c>
    </row>
    <row r="478" spans="1:7" x14ac:dyDescent="0.2">
      <c r="A478" s="12" t="s">
        <v>3315</v>
      </c>
      <c r="B478" t="s">
        <v>2926</v>
      </c>
      <c r="C478" t="s">
        <v>2553</v>
      </c>
      <c r="D478" t="b">
        <v>0</v>
      </c>
      <c r="F478" s="14">
        <v>2900000</v>
      </c>
      <c r="G478" s="15">
        <f ca="1">TODAY()+102</f>
        <v>44323</v>
      </c>
    </row>
    <row r="479" spans="1:7" x14ac:dyDescent="0.2">
      <c r="A479" s="12" t="s">
        <v>2742</v>
      </c>
      <c r="B479" t="s">
        <v>2338</v>
      </c>
      <c r="C479" t="s">
        <v>2743</v>
      </c>
      <c r="D479" t="b">
        <v>0</v>
      </c>
      <c r="F479" s="14"/>
      <c r="G479" s="15"/>
    </row>
    <row r="480" spans="1:7" x14ac:dyDescent="0.2">
      <c r="A480" s="12" t="s">
        <v>2644</v>
      </c>
      <c r="B480" t="s">
        <v>2645</v>
      </c>
      <c r="C480" t="s">
        <v>2646</v>
      </c>
      <c r="D480" t="b">
        <v>1</v>
      </c>
      <c r="F480" s="14"/>
      <c r="G480" s="15"/>
    </row>
    <row r="481" spans="1:7" x14ac:dyDescent="0.2">
      <c r="A481" s="12" t="s">
        <v>3183</v>
      </c>
      <c r="B481" t="s">
        <v>2538</v>
      </c>
      <c r="C481" t="s">
        <v>2605</v>
      </c>
      <c r="D481" t="b">
        <v>0</v>
      </c>
      <c r="E481" t="s">
        <v>2356</v>
      </c>
      <c r="F481" s="14"/>
      <c r="G481" s="15"/>
    </row>
    <row r="482" spans="1:7" x14ac:dyDescent="0.2">
      <c r="A482" s="12" t="s">
        <v>3180</v>
      </c>
      <c r="B482" t="s">
        <v>2601</v>
      </c>
      <c r="C482" t="s">
        <v>2602</v>
      </c>
      <c r="D482" t="b">
        <v>0</v>
      </c>
      <c r="F482" s="14"/>
      <c r="G482" s="15"/>
    </row>
    <row r="483" spans="1:7" x14ac:dyDescent="0.2">
      <c r="A483" s="12" t="s">
        <v>3264</v>
      </c>
      <c r="B483" t="s">
        <v>2795</v>
      </c>
      <c r="C483" t="s">
        <v>2347</v>
      </c>
      <c r="D483" t="b">
        <v>0</v>
      </c>
      <c r="F483" s="14">
        <v>2700000</v>
      </c>
      <c r="G483" s="15">
        <f ca="1">TODAY()+359</f>
        <v>44580</v>
      </c>
    </row>
    <row r="484" spans="1:7" x14ac:dyDescent="0.2">
      <c r="A484" s="12" t="s">
        <v>2357</v>
      </c>
      <c r="B484" t="s">
        <v>2323</v>
      </c>
      <c r="C484" t="s">
        <v>2696</v>
      </c>
      <c r="D484" t="b">
        <v>0</v>
      </c>
      <c r="F484" s="14"/>
      <c r="G484" s="15"/>
    </row>
    <row r="485" spans="1:7" x14ac:dyDescent="0.2">
      <c r="A485" s="12" t="s">
        <v>3252</v>
      </c>
      <c r="B485" t="s">
        <v>2763</v>
      </c>
      <c r="C485" t="s">
        <v>2407</v>
      </c>
      <c r="D485" t="b">
        <v>0</v>
      </c>
      <c r="F485" s="14"/>
      <c r="G485" s="15"/>
    </row>
    <row r="486" spans="1:7" x14ac:dyDescent="0.2">
      <c r="A486" s="12" t="s">
        <v>2852</v>
      </c>
      <c r="B486" t="s">
        <v>2846</v>
      </c>
      <c r="C486" t="s">
        <v>2853</v>
      </c>
      <c r="D486" t="b">
        <v>1</v>
      </c>
      <c r="F486" s="14"/>
      <c r="G486" s="15"/>
    </row>
    <row r="487" spans="1:7" x14ac:dyDescent="0.2">
      <c r="A487" s="12" t="s">
        <v>3158</v>
      </c>
      <c r="B487" t="s">
        <v>2540</v>
      </c>
      <c r="C487" t="s">
        <v>2541</v>
      </c>
      <c r="D487" t="b">
        <v>0</v>
      </c>
      <c r="E487" t="s">
        <v>2356</v>
      </c>
      <c r="F487" s="14"/>
      <c r="G487" s="15"/>
    </row>
    <row r="488" spans="1:7" x14ac:dyDescent="0.2">
      <c r="A488" s="12" t="s">
        <v>3124</v>
      </c>
      <c r="B488" t="s">
        <v>2395</v>
      </c>
      <c r="C488" t="s">
        <v>2396</v>
      </c>
      <c r="D488" t="b">
        <v>0</v>
      </c>
      <c r="F488" s="14"/>
      <c r="G488" s="15"/>
    </row>
    <row r="489" spans="1:7" x14ac:dyDescent="0.2">
      <c r="A489" s="12" t="s">
        <v>3305</v>
      </c>
      <c r="B489" t="s">
        <v>2611</v>
      </c>
      <c r="C489" t="s">
        <v>2911</v>
      </c>
      <c r="D489" t="b">
        <v>0</v>
      </c>
      <c r="F489" s="14"/>
      <c r="G489" s="15"/>
    </row>
    <row r="490" spans="1:7" x14ac:dyDescent="0.2">
      <c r="A490" s="12" t="s">
        <v>3192</v>
      </c>
      <c r="B490" t="s">
        <v>2627</v>
      </c>
      <c r="C490" t="s">
        <v>2628</v>
      </c>
      <c r="D490" t="b">
        <v>1</v>
      </c>
      <c r="F490" s="14">
        <v>1900000</v>
      </c>
      <c r="G490" s="15">
        <f ca="1">TODAY()+203</f>
        <v>44424</v>
      </c>
    </row>
    <row r="491" spans="1:7" x14ac:dyDescent="0.2">
      <c r="A491" s="12" t="s">
        <v>3093</v>
      </c>
      <c r="B491" t="s">
        <v>2351</v>
      </c>
      <c r="C491" t="s">
        <v>2441</v>
      </c>
      <c r="D491" t="b">
        <v>1</v>
      </c>
      <c r="F491" s="14"/>
      <c r="G491" s="15"/>
    </row>
    <row r="492" spans="1:7" x14ac:dyDescent="0.2">
      <c r="A492" s="12" t="s">
        <v>3289</v>
      </c>
      <c r="B492" t="s">
        <v>2872</v>
      </c>
      <c r="C492" t="s">
        <v>2394</v>
      </c>
      <c r="D492" t="b">
        <v>0</v>
      </c>
      <c r="F492" s="14"/>
      <c r="G492" s="15"/>
    </row>
    <row r="493" spans="1:7" x14ac:dyDescent="0.2">
      <c r="A493" s="12" t="s">
        <v>3364</v>
      </c>
      <c r="B493" t="s">
        <v>2437</v>
      </c>
      <c r="C493" t="s">
        <v>2951</v>
      </c>
      <c r="D493" t="b">
        <v>1</v>
      </c>
      <c r="F493" s="14"/>
      <c r="G493" s="15"/>
    </row>
    <row r="494" spans="1:7" x14ac:dyDescent="0.2">
      <c r="A494" s="12" t="s">
        <v>3209</v>
      </c>
      <c r="B494" t="s">
        <v>2670</v>
      </c>
      <c r="C494" t="s">
        <v>2671</v>
      </c>
      <c r="D494" t="b">
        <v>0</v>
      </c>
      <c r="F494" s="14"/>
      <c r="G494" s="15"/>
    </row>
    <row r="495" spans="1:7" x14ac:dyDescent="0.2">
      <c r="A495" s="12" t="s">
        <v>2483</v>
      </c>
      <c r="B495" t="s">
        <v>2484</v>
      </c>
      <c r="C495" t="s">
        <v>2485</v>
      </c>
      <c r="D495" t="b">
        <v>0</v>
      </c>
      <c r="F495" s="14">
        <v>400000</v>
      </c>
      <c r="G495" s="15">
        <f ca="1">TODAY()+241</f>
        <v>44462</v>
      </c>
    </row>
    <row r="496" spans="1:7" x14ac:dyDescent="0.2">
      <c r="A496" s="12" t="s">
        <v>3275</v>
      </c>
      <c r="B496" t="s">
        <v>2832</v>
      </c>
      <c r="C496" t="s">
        <v>2833</v>
      </c>
      <c r="D496" t="b">
        <v>1</v>
      </c>
      <c r="E496" t="s">
        <v>2356</v>
      </c>
      <c r="F496" s="14"/>
      <c r="G496" s="15"/>
    </row>
    <row r="497" spans="1:7" x14ac:dyDescent="0.2">
      <c r="A497" s="12" t="s">
        <v>3317</v>
      </c>
      <c r="B497" t="s">
        <v>2567</v>
      </c>
      <c r="C497" t="s">
        <v>2473</v>
      </c>
      <c r="D497" t="b">
        <v>1</v>
      </c>
      <c r="F497" s="14"/>
      <c r="G497" s="15"/>
    </row>
    <row r="498" spans="1:7" x14ac:dyDescent="0.2">
      <c r="A498" s="12" t="s">
        <v>3039</v>
      </c>
      <c r="B498" t="s">
        <v>2609</v>
      </c>
      <c r="C498" t="s">
        <v>2610</v>
      </c>
      <c r="D498" t="b">
        <v>0</v>
      </c>
      <c r="F498" s="14"/>
      <c r="G498" s="15"/>
    </row>
    <row r="499" spans="1:7" x14ac:dyDescent="0.2">
      <c r="A499" s="12" t="s">
        <v>3357</v>
      </c>
      <c r="B499" t="s">
        <v>2440</v>
      </c>
      <c r="C499" t="s">
        <v>2992</v>
      </c>
      <c r="D499" t="b">
        <v>0</v>
      </c>
      <c r="F499" s="14"/>
      <c r="G499" s="15"/>
    </row>
    <row r="500" spans="1:7" x14ac:dyDescent="0.2">
      <c r="A500" s="12" t="s">
        <v>3105</v>
      </c>
      <c r="B500" t="s">
        <v>2323</v>
      </c>
      <c r="C500" t="s">
        <v>2324</v>
      </c>
      <c r="D500" t="b">
        <v>0</v>
      </c>
      <c r="F500" s="14"/>
      <c r="G500" s="15"/>
    </row>
    <row r="501" spans="1:7" x14ac:dyDescent="0.2">
      <c r="A501" s="12" t="s">
        <v>3365</v>
      </c>
      <c r="B501" t="s">
        <v>3007</v>
      </c>
      <c r="C501" t="s">
        <v>2960</v>
      </c>
      <c r="D501" t="b">
        <v>0</v>
      </c>
      <c r="F501" s="14">
        <v>4100000</v>
      </c>
      <c r="G501" s="15">
        <f ca="1">TODAY()+123</f>
        <v>44344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1"/>
  <sheetViews>
    <sheetView workbookViewId="0">
      <selection activeCell="D13" sqref="D13"/>
    </sheetView>
  </sheetViews>
  <sheetFormatPr defaultRowHeight="12" x14ac:dyDescent="0.2"/>
  <cols>
    <col min="1" max="1" width="20.1640625" bestFit="1" customWidth="1"/>
    <col min="2" max="2" width="14.5" bestFit="1" customWidth="1"/>
    <col min="3" max="3" width="13.6640625" customWidth="1"/>
    <col min="4" max="4" width="21.1640625" style="12" bestFit="1" customWidth="1"/>
    <col min="5" max="5" width="22.5" bestFit="1" customWidth="1"/>
    <col min="6" max="6" width="15.1640625" bestFit="1" customWidth="1"/>
  </cols>
  <sheetData>
    <row r="1" spans="1:8" x14ac:dyDescent="0.2">
      <c r="A1" s="21" t="s">
        <v>413</v>
      </c>
      <c r="B1" s="21" t="s">
        <v>3565</v>
      </c>
      <c r="C1" s="21" t="s">
        <v>3376</v>
      </c>
      <c r="D1" s="21" t="s">
        <v>3377</v>
      </c>
      <c r="E1" s="21" t="s">
        <v>2306</v>
      </c>
      <c r="F1" s="21" t="s">
        <v>3375</v>
      </c>
    </row>
    <row r="2" spans="1:8" ht="12" customHeight="1" x14ac:dyDescent="0.2">
      <c r="A2" s="8" t="s">
        <v>1293</v>
      </c>
      <c r="B2" s="9">
        <v>16711267790</v>
      </c>
      <c r="C2" s="10">
        <f ca="1">TODAY()-172</f>
        <v>44049</v>
      </c>
      <c r="D2" s="10" t="s">
        <v>3378</v>
      </c>
      <c r="E2" t="s">
        <v>3423</v>
      </c>
      <c r="F2" s="16">
        <v>345000</v>
      </c>
    </row>
    <row r="3" spans="1:8" ht="12" customHeight="1" x14ac:dyDescent="0.2">
      <c r="A3" s="8" t="s">
        <v>1950</v>
      </c>
      <c r="B3" s="9">
        <v>26212216032</v>
      </c>
      <c r="C3" s="10">
        <f ca="1">TODAY()-507</f>
        <v>43714</v>
      </c>
      <c r="D3" s="10" t="s">
        <v>3383</v>
      </c>
      <c r="E3" s="12" t="s">
        <v>3449</v>
      </c>
      <c r="F3" s="16">
        <v>285000</v>
      </c>
      <c r="H3" s="19" t="s">
        <v>3574</v>
      </c>
    </row>
    <row r="4" spans="1:8" ht="12" customHeight="1" x14ac:dyDescent="0.2">
      <c r="A4" s="8" t="s">
        <v>2051</v>
      </c>
      <c r="B4" s="9">
        <v>26801104981</v>
      </c>
      <c r="C4" s="10">
        <f ca="1">TODAY()-2074</f>
        <v>42147</v>
      </c>
      <c r="D4" s="10" t="s">
        <v>3399</v>
      </c>
      <c r="E4" s="12" t="s">
        <v>3399</v>
      </c>
      <c r="F4" s="16">
        <v>220000</v>
      </c>
      <c r="H4" s="19" t="s">
        <v>3575</v>
      </c>
    </row>
    <row r="5" spans="1:8" ht="12" customHeight="1" x14ac:dyDescent="0.2">
      <c r="A5" s="8" t="s">
        <v>1298</v>
      </c>
      <c r="B5" s="9">
        <v>18708196286</v>
      </c>
      <c r="C5" s="10">
        <f ca="1">TODAY()-882</f>
        <v>43339</v>
      </c>
      <c r="D5" s="10" t="s">
        <v>2299</v>
      </c>
      <c r="E5" s="12" t="s">
        <v>3465</v>
      </c>
      <c r="F5" s="16">
        <v>320000</v>
      </c>
      <c r="H5" s="17" t="s">
        <v>3576</v>
      </c>
    </row>
    <row r="6" spans="1:8" ht="12" customHeight="1" x14ac:dyDescent="0.2">
      <c r="A6" s="8" t="s">
        <v>1874</v>
      </c>
      <c r="B6" s="9">
        <v>26512111323</v>
      </c>
      <c r="C6" s="10">
        <f ca="1">TODAY()-4945</f>
        <v>39276</v>
      </c>
      <c r="D6" s="10" t="s">
        <v>3382</v>
      </c>
      <c r="E6" s="12" t="s">
        <v>3556</v>
      </c>
      <c r="F6" s="16">
        <v>210000</v>
      </c>
      <c r="H6" s="17" t="s">
        <v>3577</v>
      </c>
    </row>
    <row r="7" spans="1:8" ht="12" customHeight="1" x14ac:dyDescent="0.2">
      <c r="A7" s="8" t="s">
        <v>2027</v>
      </c>
      <c r="B7" s="9">
        <v>28208047739</v>
      </c>
      <c r="C7" s="10">
        <f ca="1">TODAY()-682</f>
        <v>43539</v>
      </c>
      <c r="D7" s="10" t="s">
        <v>2303</v>
      </c>
      <c r="E7" s="12" t="s">
        <v>3414</v>
      </c>
      <c r="F7" s="16">
        <v>210000</v>
      </c>
      <c r="H7" s="17" t="s">
        <v>3578</v>
      </c>
    </row>
    <row r="8" spans="1:8" ht="12" customHeight="1" x14ac:dyDescent="0.2">
      <c r="A8" s="8" t="s">
        <v>1807</v>
      </c>
      <c r="B8" s="9">
        <v>26702112055</v>
      </c>
      <c r="C8" s="10">
        <f ca="1">TODAY()-3008</f>
        <v>41213</v>
      </c>
      <c r="D8" s="10" t="s">
        <v>3386</v>
      </c>
      <c r="E8" s="12" t="s">
        <v>3386</v>
      </c>
      <c r="F8" s="16">
        <v>465000</v>
      </c>
    </row>
    <row r="9" spans="1:8" ht="12" customHeight="1" x14ac:dyDescent="0.2">
      <c r="A9" s="8" t="s">
        <v>2097</v>
      </c>
      <c r="B9" s="9">
        <v>26312127582</v>
      </c>
      <c r="C9" s="10">
        <f ca="1">TODAY()-2567</f>
        <v>41654</v>
      </c>
      <c r="D9" s="10" t="s">
        <v>3394</v>
      </c>
      <c r="E9" s="12" t="s">
        <v>3462</v>
      </c>
      <c r="F9" s="16">
        <v>175000</v>
      </c>
      <c r="H9" s="18" t="s">
        <v>3579</v>
      </c>
    </row>
    <row r="10" spans="1:8" ht="12" customHeight="1" x14ac:dyDescent="0.2">
      <c r="A10" s="8" t="s">
        <v>1897</v>
      </c>
      <c r="B10" s="9">
        <v>26908226140</v>
      </c>
      <c r="C10" s="10">
        <f ca="1">TODAY()-2568</f>
        <v>41653</v>
      </c>
      <c r="D10" s="10" t="s">
        <v>3388</v>
      </c>
      <c r="E10" s="12" t="s">
        <v>3527</v>
      </c>
      <c r="F10" s="16">
        <v>220000</v>
      </c>
      <c r="H10" s="20" t="s">
        <v>3580</v>
      </c>
    </row>
    <row r="11" spans="1:8" ht="12" customHeight="1" x14ac:dyDescent="0.2">
      <c r="A11" s="8" t="s">
        <v>1040</v>
      </c>
      <c r="B11" s="9">
        <v>18407113605</v>
      </c>
      <c r="C11" s="10">
        <f ca="1">TODAY()-4896</f>
        <v>39325</v>
      </c>
      <c r="D11" s="10" t="s">
        <v>3401</v>
      </c>
      <c r="E11" s="12" t="s">
        <v>3415</v>
      </c>
      <c r="F11" s="16">
        <v>310000</v>
      </c>
    </row>
    <row r="12" spans="1:8" ht="12" customHeight="1" x14ac:dyDescent="0.2">
      <c r="A12" s="8" t="s">
        <v>1125</v>
      </c>
      <c r="B12" s="9">
        <v>26205205659</v>
      </c>
      <c r="C12" s="10">
        <f ca="1">TODAY()-4115</f>
        <v>40106</v>
      </c>
      <c r="D12" s="10" t="s">
        <v>2304</v>
      </c>
      <c r="E12" s="12" t="s">
        <v>3448</v>
      </c>
      <c r="F12" s="16">
        <v>230000</v>
      </c>
      <c r="H12" s="17" t="s">
        <v>3581</v>
      </c>
    </row>
    <row r="13" spans="1:8" ht="12" customHeight="1" x14ac:dyDescent="0.2">
      <c r="A13" s="8" t="s">
        <v>1577</v>
      </c>
      <c r="B13" s="9">
        <v>27106237093</v>
      </c>
      <c r="C13" s="10">
        <f ca="1">TODAY()-1873</f>
        <v>42348</v>
      </c>
      <c r="D13" s="10" t="s">
        <v>3398</v>
      </c>
      <c r="E13" s="12" t="s">
        <v>3538</v>
      </c>
      <c r="F13" s="16">
        <v>375000</v>
      </c>
      <c r="H13" s="17" t="s">
        <v>3582</v>
      </c>
    </row>
    <row r="14" spans="1:8" ht="12" customHeight="1" x14ac:dyDescent="0.2">
      <c r="A14" s="8" t="s">
        <v>930</v>
      </c>
      <c r="B14" s="9">
        <v>16601027696</v>
      </c>
      <c r="C14" s="10">
        <f ca="1">TODAY()-1903</f>
        <v>42318</v>
      </c>
      <c r="D14" s="10" t="s">
        <v>2284</v>
      </c>
      <c r="E14" s="12" t="s">
        <v>3497</v>
      </c>
      <c r="F14" s="16">
        <v>445000</v>
      </c>
    </row>
    <row r="15" spans="1:8" ht="12" customHeight="1" x14ac:dyDescent="0.2">
      <c r="A15" s="8" t="s">
        <v>914</v>
      </c>
      <c r="B15" s="9">
        <v>18512238174</v>
      </c>
      <c r="C15" s="10">
        <f ca="1">TODAY()-2381</f>
        <v>41840</v>
      </c>
      <c r="D15" s="10" t="s">
        <v>2294</v>
      </c>
      <c r="E15" s="12" t="s">
        <v>2294</v>
      </c>
      <c r="F15" s="16">
        <v>390000</v>
      </c>
    </row>
    <row r="16" spans="1:8" ht="12" customHeight="1" x14ac:dyDescent="0.2">
      <c r="A16" s="8" t="s">
        <v>1414</v>
      </c>
      <c r="B16" s="9">
        <v>27602033143</v>
      </c>
      <c r="C16" s="10">
        <f ca="1">TODAY()-2830</f>
        <v>41391</v>
      </c>
      <c r="D16" s="10" t="s">
        <v>3389</v>
      </c>
      <c r="E16" s="12" t="s">
        <v>3505</v>
      </c>
      <c r="F16" s="16">
        <v>305000</v>
      </c>
    </row>
    <row r="17" spans="1:6" ht="12" customHeight="1" x14ac:dyDescent="0.2">
      <c r="A17" s="8" t="s">
        <v>1626</v>
      </c>
      <c r="B17" s="9">
        <v>18912055325</v>
      </c>
      <c r="C17" s="10">
        <f ca="1">TODAY()-2586</f>
        <v>41635</v>
      </c>
      <c r="D17" s="10" t="s">
        <v>3386</v>
      </c>
      <c r="E17" s="12" t="s">
        <v>3461</v>
      </c>
      <c r="F17" s="16">
        <v>230000</v>
      </c>
    </row>
    <row r="18" spans="1:6" ht="12" customHeight="1" x14ac:dyDescent="0.2">
      <c r="A18" s="8" t="s">
        <v>1779</v>
      </c>
      <c r="B18" s="9">
        <v>29004132506</v>
      </c>
      <c r="C18" s="10">
        <f ca="1">TODAY()-4860</f>
        <v>39361</v>
      </c>
      <c r="D18" s="10" t="s">
        <v>2284</v>
      </c>
      <c r="E18" s="12" t="s">
        <v>3454</v>
      </c>
      <c r="F18" s="16">
        <v>260000</v>
      </c>
    </row>
    <row r="19" spans="1:6" ht="12" customHeight="1" x14ac:dyDescent="0.2">
      <c r="A19" s="8" t="s">
        <v>954</v>
      </c>
      <c r="B19" s="9">
        <v>18112211928</v>
      </c>
      <c r="C19" s="10">
        <f ca="1">TODAY()-1475</f>
        <v>42746</v>
      </c>
      <c r="D19" s="10" t="s">
        <v>3387</v>
      </c>
      <c r="E19" s="12" t="s">
        <v>3528</v>
      </c>
      <c r="F19" s="16">
        <v>250000</v>
      </c>
    </row>
    <row r="20" spans="1:6" ht="12" customHeight="1" x14ac:dyDescent="0.2">
      <c r="A20" s="8" t="s">
        <v>1101</v>
      </c>
      <c r="B20" s="9">
        <v>17904075066</v>
      </c>
      <c r="C20" s="10">
        <f ca="1">TODAY()-533</f>
        <v>43688</v>
      </c>
      <c r="D20" s="10" t="s">
        <v>2292</v>
      </c>
      <c r="E20" s="12" t="s">
        <v>3528</v>
      </c>
      <c r="F20" s="16">
        <v>410000</v>
      </c>
    </row>
    <row r="21" spans="1:6" ht="12" customHeight="1" x14ac:dyDescent="0.2">
      <c r="A21" s="8" t="s">
        <v>962</v>
      </c>
      <c r="B21" s="9">
        <v>27710266242</v>
      </c>
      <c r="C21" s="10">
        <f ca="1">TODAY()-4602</f>
        <v>39619</v>
      </c>
      <c r="D21" s="10" t="s">
        <v>3398</v>
      </c>
      <c r="E21" s="12" t="s">
        <v>3459</v>
      </c>
      <c r="F21" s="16">
        <v>405000</v>
      </c>
    </row>
    <row r="22" spans="1:6" ht="12" customHeight="1" x14ac:dyDescent="0.2">
      <c r="A22" s="8" t="s">
        <v>1057</v>
      </c>
      <c r="B22" s="9">
        <v>17704256740</v>
      </c>
      <c r="C22" s="10">
        <f ca="1">TODAY()-883</f>
        <v>43338</v>
      </c>
      <c r="D22" s="10" t="s">
        <v>3384</v>
      </c>
      <c r="E22" s="12" t="s">
        <v>3403</v>
      </c>
      <c r="F22" s="16">
        <v>180000</v>
      </c>
    </row>
    <row r="23" spans="1:6" ht="12" customHeight="1" x14ac:dyDescent="0.2">
      <c r="A23" s="8" t="s">
        <v>2213</v>
      </c>
      <c r="B23" s="9">
        <v>16211149114</v>
      </c>
      <c r="C23" s="10">
        <f ca="1">TODAY()-3576</f>
        <v>40645</v>
      </c>
      <c r="D23" s="10" t="s">
        <v>3391</v>
      </c>
      <c r="E23" s="12" t="s">
        <v>3444</v>
      </c>
      <c r="F23" s="16">
        <v>405000</v>
      </c>
    </row>
    <row r="24" spans="1:6" ht="12" customHeight="1" x14ac:dyDescent="0.2">
      <c r="A24" s="8" t="s">
        <v>1401</v>
      </c>
      <c r="B24" s="9">
        <v>26508237493</v>
      </c>
      <c r="C24" s="10">
        <f ca="1">TODAY()-2585</f>
        <v>41636</v>
      </c>
      <c r="D24" s="10" t="s">
        <v>3392</v>
      </c>
      <c r="E24" s="12" t="s">
        <v>3436</v>
      </c>
      <c r="F24" s="16">
        <v>440000</v>
      </c>
    </row>
    <row r="25" spans="1:6" ht="12" customHeight="1" x14ac:dyDescent="0.2">
      <c r="A25" s="8" t="s">
        <v>1961</v>
      </c>
      <c r="B25" s="9">
        <v>28708153146</v>
      </c>
      <c r="C25" s="10">
        <f ca="1">TODAY()-2515</f>
        <v>41706</v>
      </c>
      <c r="D25" s="10" t="s">
        <v>3386</v>
      </c>
      <c r="E25" s="12" t="s">
        <v>3550</v>
      </c>
      <c r="F25" s="16">
        <v>460000</v>
      </c>
    </row>
    <row r="26" spans="1:6" ht="12" customHeight="1" x14ac:dyDescent="0.2">
      <c r="A26" s="8" t="s">
        <v>472</v>
      </c>
      <c r="B26" s="9">
        <v>28405165139</v>
      </c>
      <c r="C26" s="10">
        <f ca="1">TODAY()-1910</f>
        <v>42311</v>
      </c>
      <c r="D26" s="10" t="s">
        <v>3380</v>
      </c>
      <c r="E26" s="12" t="s">
        <v>3380</v>
      </c>
      <c r="F26" s="16">
        <v>365000</v>
      </c>
    </row>
    <row r="27" spans="1:6" ht="12" customHeight="1" x14ac:dyDescent="0.2">
      <c r="A27" s="8" t="s">
        <v>1717</v>
      </c>
      <c r="B27" s="9">
        <v>27612189875</v>
      </c>
      <c r="C27" s="10">
        <f ca="1">TODAY()-3259</f>
        <v>40962</v>
      </c>
      <c r="D27" s="10" t="s">
        <v>2286</v>
      </c>
      <c r="E27" s="12" t="s">
        <v>2286</v>
      </c>
      <c r="F27" s="16">
        <v>310000</v>
      </c>
    </row>
    <row r="28" spans="1:6" ht="12" customHeight="1" x14ac:dyDescent="0.2">
      <c r="A28" s="8" t="s">
        <v>571</v>
      </c>
      <c r="B28" s="9">
        <v>18402063549</v>
      </c>
      <c r="C28" s="10">
        <f ca="1">TODAY()-917</f>
        <v>43304</v>
      </c>
      <c r="D28" s="10" t="s">
        <v>3391</v>
      </c>
      <c r="E28" s="12" t="s">
        <v>3475</v>
      </c>
      <c r="F28" s="16">
        <v>245000</v>
      </c>
    </row>
    <row r="29" spans="1:6" ht="12" customHeight="1" x14ac:dyDescent="0.2">
      <c r="A29" s="8" t="s">
        <v>1189</v>
      </c>
      <c r="B29" s="9">
        <v>28611076023</v>
      </c>
      <c r="C29" s="10">
        <f ca="1">TODAY()-1163</f>
        <v>43058</v>
      </c>
      <c r="D29" s="10" t="s">
        <v>3397</v>
      </c>
      <c r="E29" s="12" t="s">
        <v>3472</v>
      </c>
      <c r="F29" s="16">
        <v>225000</v>
      </c>
    </row>
    <row r="30" spans="1:6" ht="12" customHeight="1" x14ac:dyDescent="0.2">
      <c r="A30" s="8" t="s">
        <v>627</v>
      </c>
      <c r="B30" s="9">
        <v>28205051485</v>
      </c>
      <c r="C30" s="10">
        <f ca="1">TODAY()-1060</f>
        <v>43161</v>
      </c>
      <c r="D30" s="10" t="s">
        <v>2291</v>
      </c>
      <c r="E30" s="12" t="s">
        <v>3452</v>
      </c>
      <c r="F30" s="16">
        <v>375000</v>
      </c>
    </row>
    <row r="31" spans="1:6" ht="12" customHeight="1" x14ac:dyDescent="0.2">
      <c r="A31" s="8" t="s">
        <v>1010</v>
      </c>
      <c r="B31" s="9">
        <v>26309155309</v>
      </c>
      <c r="C31" s="10">
        <f ca="1">TODAY()-1438</f>
        <v>42783</v>
      </c>
      <c r="D31" s="10" t="s">
        <v>3387</v>
      </c>
      <c r="E31" s="12" t="s">
        <v>3415</v>
      </c>
      <c r="F31" s="16">
        <v>490000</v>
      </c>
    </row>
    <row r="32" spans="1:6" ht="12" customHeight="1" x14ac:dyDescent="0.2">
      <c r="A32" s="8" t="s">
        <v>1764</v>
      </c>
      <c r="B32" s="9">
        <v>28404179471</v>
      </c>
      <c r="C32" s="10">
        <f ca="1">TODAY()-4769</f>
        <v>39452</v>
      </c>
      <c r="D32" s="10" t="s">
        <v>3379</v>
      </c>
      <c r="E32" s="12" t="s">
        <v>3494</v>
      </c>
      <c r="F32" s="16">
        <v>365000</v>
      </c>
    </row>
    <row r="33" spans="1:6" ht="12" customHeight="1" x14ac:dyDescent="0.2">
      <c r="A33" s="8" t="s">
        <v>1607</v>
      </c>
      <c r="B33" s="9">
        <v>26811265934</v>
      </c>
      <c r="C33" s="10">
        <f ca="1">TODAY()-2072</f>
        <v>42149</v>
      </c>
      <c r="D33" s="10" t="s">
        <v>3391</v>
      </c>
      <c r="E33" s="12" t="s">
        <v>3467</v>
      </c>
      <c r="F33" s="16">
        <v>450000</v>
      </c>
    </row>
    <row r="34" spans="1:6" ht="12" customHeight="1" x14ac:dyDescent="0.2">
      <c r="A34" s="8" t="s">
        <v>1347</v>
      </c>
      <c r="B34" s="9">
        <v>28712126068</v>
      </c>
      <c r="C34" s="10">
        <f ca="1">TODAY()-1917</f>
        <v>42304</v>
      </c>
      <c r="D34" s="10" t="s">
        <v>2300</v>
      </c>
      <c r="E34" s="12" t="s">
        <v>3460</v>
      </c>
      <c r="F34" s="16">
        <v>410000</v>
      </c>
    </row>
    <row r="35" spans="1:6" ht="12" customHeight="1" x14ac:dyDescent="0.2">
      <c r="A35" s="8" t="s">
        <v>588</v>
      </c>
      <c r="B35" s="9">
        <v>18504088884</v>
      </c>
      <c r="C35" s="10">
        <f ca="1">TODAY()-2323</f>
        <v>41898</v>
      </c>
      <c r="D35" s="10" t="s">
        <v>3378</v>
      </c>
      <c r="E35" s="12" t="s">
        <v>3513</v>
      </c>
      <c r="F35" s="16">
        <v>215000</v>
      </c>
    </row>
    <row r="36" spans="1:6" ht="12" customHeight="1" x14ac:dyDescent="0.2">
      <c r="A36" s="8" t="s">
        <v>1259</v>
      </c>
      <c r="B36" s="9">
        <v>16301115731</v>
      </c>
      <c r="C36" s="10">
        <f ca="1">TODAY()-2652</f>
        <v>41569</v>
      </c>
      <c r="D36" s="10" t="s">
        <v>3381</v>
      </c>
      <c r="E36" s="12" t="s">
        <v>3427</v>
      </c>
      <c r="F36" s="16">
        <v>480000</v>
      </c>
    </row>
    <row r="37" spans="1:6" ht="12" customHeight="1" x14ac:dyDescent="0.2">
      <c r="A37" s="8" t="s">
        <v>1875</v>
      </c>
      <c r="B37" s="9">
        <v>28411251314</v>
      </c>
      <c r="C37" s="10">
        <f ca="1">TODAY()-4428</f>
        <v>39793</v>
      </c>
      <c r="D37" s="10" t="s">
        <v>2294</v>
      </c>
      <c r="E37" s="12" t="s">
        <v>3512</v>
      </c>
      <c r="F37" s="16">
        <v>450000</v>
      </c>
    </row>
    <row r="38" spans="1:6" ht="12" customHeight="1" x14ac:dyDescent="0.2">
      <c r="A38" s="8" t="s">
        <v>1837</v>
      </c>
      <c r="B38" s="9">
        <v>16512289597</v>
      </c>
      <c r="C38" s="10">
        <f ca="1">TODAY()-4620</f>
        <v>39601</v>
      </c>
      <c r="D38" s="10" t="s">
        <v>2303</v>
      </c>
      <c r="E38" s="12" t="s">
        <v>3417</v>
      </c>
      <c r="F38" s="16">
        <v>310000</v>
      </c>
    </row>
    <row r="39" spans="1:6" ht="12" customHeight="1" x14ac:dyDescent="0.2">
      <c r="A39" s="8" t="s">
        <v>2265</v>
      </c>
      <c r="B39" s="9">
        <v>28001181808</v>
      </c>
      <c r="C39" s="10">
        <f ca="1">TODAY()-1245</f>
        <v>42976</v>
      </c>
      <c r="D39" s="10" t="s">
        <v>3389</v>
      </c>
      <c r="E39" s="12" t="s">
        <v>3389</v>
      </c>
      <c r="F39" s="16">
        <v>250000</v>
      </c>
    </row>
    <row r="40" spans="1:6" ht="12" customHeight="1" x14ac:dyDescent="0.2">
      <c r="A40" s="8" t="s">
        <v>1058</v>
      </c>
      <c r="B40" s="9">
        <v>28309055839</v>
      </c>
      <c r="C40" s="10">
        <f ca="1">TODAY()-2939</f>
        <v>41282</v>
      </c>
      <c r="D40" s="10" t="s">
        <v>2302</v>
      </c>
      <c r="E40" s="12" t="s">
        <v>3518</v>
      </c>
      <c r="F40" s="16">
        <v>320000</v>
      </c>
    </row>
    <row r="41" spans="1:6" ht="12" customHeight="1" x14ac:dyDescent="0.2">
      <c r="A41" s="8" t="s">
        <v>687</v>
      </c>
      <c r="B41" s="9">
        <v>27502269996</v>
      </c>
      <c r="C41" s="10">
        <f ca="1">TODAY()-293</f>
        <v>43928</v>
      </c>
      <c r="D41" s="10" t="s">
        <v>3383</v>
      </c>
      <c r="E41" s="12" t="s">
        <v>3383</v>
      </c>
      <c r="F41" s="16">
        <v>490000</v>
      </c>
    </row>
    <row r="42" spans="1:6" ht="12" customHeight="1" x14ac:dyDescent="0.2">
      <c r="A42" s="8" t="s">
        <v>1236</v>
      </c>
      <c r="B42" s="9">
        <v>28810063848</v>
      </c>
      <c r="C42" s="10">
        <f ca="1">TODAY()-1919</f>
        <v>42302</v>
      </c>
      <c r="D42" s="10" t="s">
        <v>3379</v>
      </c>
      <c r="E42" s="12" t="s">
        <v>3406</v>
      </c>
      <c r="F42" s="16">
        <v>350000</v>
      </c>
    </row>
    <row r="43" spans="1:6" ht="12" customHeight="1" x14ac:dyDescent="0.2">
      <c r="A43" s="8" t="s">
        <v>422</v>
      </c>
      <c r="B43" s="9">
        <v>17801283675</v>
      </c>
      <c r="C43" s="10">
        <f ca="1">TODAY()-1114</f>
        <v>43107</v>
      </c>
      <c r="D43" s="10" t="s">
        <v>2304</v>
      </c>
      <c r="E43" s="12" t="s">
        <v>3416</v>
      </c>
      <c r="F43" s="16">
        <v>205000</v>
      </c>
    </row>
    <row r="44" spans="1:6" ht="12" customHeight="1" x14ac:dyDescent="0.2">
      <c r="A44" s="8" t="s">
        <v>2115</v>
      </c>
      <c r="B44" s="9">
        <v>17009094177</v>
      </c>
      <c r="C44" s="10">
        <f ca="1">TODAY()-337</f>
        <v>43884</v>
      </c>
      <c r="D44" s="10" t="s">
        <v>2288</v>
      </c>
      <c r="E44" s="12" t="s">
        <v>3516</v>
      </c>
      <c r="F44" s="16">
        <v>355000</v>
      </c>
    </row>
    <row r="45" spans="1:6" ht="12" customHeight="1" x14ac:dyDescent="0.2">
      <c r="A45" s="8" t="s">
        <v>1065</v>
      </c>
      <c r="B45" s="9">
        <v>28307183163</v>
      </c>
      <c r="C45" s="10">
        <f ca="1">TODAY()-1659</f>
        <v>42562</v>
      </c>
      <c r="D45" s="10" t="s">
        <v>2286</v>
      </c>
      <c r="E45" s="12" t="s">
        <v>3543</v>
      </c>
      <c r="F45" s="16">
        <v>240000</v>
      </c>
    </row>
    <row r="46" spans="1:6" ht="12" customHeight="1" x14ac:dyDescent="0.2">
      <c r="A46" s="8" t="s">
        <v>853</v>
      </c>
      <c r="B46" s="9">
        <v>17010175315</v>
      </c>
      <c r="C46" s="10">
        <f ca="1">TODAY()-1749</f>
        <v>42472</v>
      </c>
      <c r="D46" s="10" t="s">
        <v>3385</v>
      </c>
      <c r="E46" s="12" t="s">
        <v>3413</v>
      </c>
      <c r="F46" s="16">
        <v>335000</v>
      </c>
    </row>
    <row r="47" spans="1:6" ht="12" customHeight="1" x14ac:dyDescent="0.2">
      <c r="A47" s="8" t="s">
        <v>959</v>
      </c>
      <c r="B47" s="9">
        <v>16109117996</v>
      </c>
      <c r="C47" s="10">
        <f ca="1">TODAY()-3805</f>
        <v>40416</v>
      </c>
      <c r="D47" s="10" t="s">
        <v>2289</v>
      </c>
      <c r="E47" s="12" t="s">
        <v>2289</v>
      </c>
      <c r="F47" s="16">
        <v>495000</v>
      </c>
    </row>
    <row r="48" spans="1:6" ht="12" customHeight="1" x14ac:dyDescent="0.2">
      <c r="A48" s="8" t="s">
        <v>708</v>
      </c>
      <c r="B48" s="9">
        <v>18712121147</v>
      </c>
      <c r="C48" s="10">
        <f ca="1">TODAY()-4587</f>
        <v>39634</v>
      </c>
      <c r="D48" s="10" t="s">
        <v>3378</v>
      </c>
      <c r="E48" s="12" t="s">
        <v>3378</v>
      </c>
      <c r="F48" s="16">
        <v>460000</v>
      </c>
    </row>
    <row r="49" spans="1:6" ht="12" customHeight="1" x14ac:dyDescent="0.2">
      <c r="A49" s="8" t="s">
        <v>513</v>
      </c>
      <c r="B49" s="9">
        <v>17003036786</v>
      </c>
      <c r="C49" s="10">
        <f ca="1">TODAY()-1224</f>
        <v>42997</v>
      </c>
      <c r="D49" s="10" t="s">
        <v>2300</v>
      </c>
      <c r="E49" s="12" t="s">
        <v>3461</v>
      </c>
      <c r="F49" s="16">
        <v>260000</v>
      </c>
    </row>
    <row r="50" spans="1:6" ht="12" customHeight="1" x14ac:dyDescent="0.2">
      <c r="A50" s="8" t="s">
        <v>1372</v>
      </c>
      <c r="B50" s="9">
        <v>26812143149</v>
      </c>
      <c r="C50" s="10">
        <f ca="1">TODAY()-656</f>
        <v>43565</v>
      </c>
      <c r="D50" s="10" t="s">
        <v>2293</v>
      </c>
      <c r="E50" s="12" t="s">
        <v>3464</v>
      </c>
      <c r="F50" s="16">
        <v>450000</v>
      </c>
    </row>
    <row r="51" spans="1:6" ht="12" customHeight="1" x14ac:dyDescent="0.2">
      <c r="A51" s="8" t="s">
        <v>1820</v>
      </c>
      <c r="B51" s="9">
        <v>28808026436</v>
      </c>
      <c r="C51" s="10">
        <f ca="1">TODAY()-308</f>
        <v>43913</v>
      </c>
      <c r="D51" s="10" t="s">
        <v>2297</v>
      </c>
      <c r="E51" s="12" t="s">
        <v>3444</v>
      </c>
      <c r="F51" s="16">
        <v>275000</v>
      </c>
    </row>
    <row r="52" spans="1:6" ht="12" customHeight="1" x14ac:dyDescent="0.2">
      <c r="A52" s="8" t="s">
        <v>1226</v>
      </c>
      <c r="B52" s="9">
        <v>28607282533</v>
      </c>
      <c r="C52" s="10">
        <f ca="1">TODAY()-671</f>
        <v>43550</v>
      </c>
      <c r="D52" s="10" t="s">
        <v>2284</v>
      </c>
      <c r="E52" s="12" t="s">
        <v>3403</v>
      </c>
      <c r="F52" s="16">
        <v>360000</v>
      </c>
    </row>
    <row r="53" spans="1:6" ht="12" customHeight="1" x14ac:dyDescent="0.2">
      <c r="A53" s="8" t="s">
        <v>798</v>
      </c>
      <c r="B53" s="9">
        <v>16301265623</v>
      </c>
      <c r="C53" s="10">
        <f ca="1">TODAY()-2096</f>
        <v>42125</v>
      </c>
      <c r="D53" s="10" t="s">
        <v>2291</v>
      </c>
      <c r="E53" s="12" t="s">
        <v>3421</v>
      </c>
      <c r="F53" s="16">
        <v>190000</v>
      </c>
    </row>
    <row r="54" spans="1:6" ht="12" customHeight="1" x14ac:dyDescent="0.2">
      <c r="A54" s="8" t="s">
        <v>685</v>
      </c>
      <c r="B54" s="9">
        <v>28606248048</v>
      </c>
      <c r="C54" s="10">
        <f ca="1">TODAY()-3903</f>
        <v>40318</v>
      </c>
      <c r="D54" s="10" t="s">
        <v>3394</v>
      </c>
      <c r="E54" s="12" t="s">
        <v>3515</v>
      </c>
      <c r="F54" s="16">
        <v>415000</v>
      </c>
    </row>
    <row r="55" spans="1:6" ht="12" customHeight="1" x14ac:dyDescent="0.2">
      <c r="A55" s="8" t="s">
        <v>849</v>
      </c>
      <c r="B55" s="9">
        <v>19001264027</v>
      </c>
      <c r="C55" s="10">
        <f ca="1">TODAY()-370</f>
        <v>43851</v>
      </c>
      <c r="D55" s="10" t="s">
        <v>2302</v>
      </c>
      <c r="E55" s="12" t="s">
        <v>3425</v>
      </c>
      <c r="F55" s="16">
        <v>465000</v>
      </c>
    </row>
    <row r="56" spans="1:6" ht="12" customHeight="1" x14ac:dyDescent="0.2">
      <c r="A56" s="8" t="s">
        <v>2084</v>
      </c>
      <c r="B56" s="9">
        <v>26901183374</v>
      </c>
      <c r="C56" s="10">
        <f ca="1">TODAY()-3186</f>
        <v>41035</v>
      </c>
      <c r="D56" s="10" t="s">
        <v>3385</v>
      </c>
      <c r="E56" s="12" t="s">
        <v>3533</v>
      </c>
      <c r="F56" s="16">
        <v>400000</v>
      </c>
    </row>
    <row r="57" spans="1:6" ht="12" customHeight="1" x14ac:dyDescent="0.2">
      <c r="A57" s="8" t="s">
        <v>1723</v>
      </c>
      <c r="B57" s="9">
        <v>18803096744</v>
      </c>
      <c r="C57" s="10">
        <f ca="1">TODAY()-3444</f>
        <v>40777</v>
      </c>
      <c r="D57" s="10" t="s">
        <v>3381</v>
      </c>
      <c r="E57" s="12" t="s">
        <v>3552</v>
      </c>
      <c r="F57" s="16">
        <v>315000</v>
      </c>
    </row>
    <row r="58" spans="1:6" ht="12" customHeight="1" x14ac:dyDescent="0.2">
      <c r="A58" s="8" t="s">
        <v>834</v>
      </c>
      <c r="B58" s="9">
        <v>19007202027</v>
      </c>
      <c r="C58" s="10">
        <f ca="1">TODAY()-1921</f>
        <v>42300</v>
      </c>
      <c r="D58" s="10" t="s">
        <v>3401</v>
      </c>
      <c r="E58" s="12" t="s">
        <v>3498</v>
      </c>
      <c r="F58" s="16">
        <v>230000</v>
      </c>
    </row>
    <row r="59" spans="1:6" ht="12" customHeight="1" x14ac:dyDescent="0.2">
      <c r="A59" s="8" t="s">
        <v>966</v>
      </c>
      <c r="B59" s="9">
        <v>28510168210</v>
      </c>
      <c r="C59" s="10">
        <f ca="1">TODAY()-3343</f>
        <v>40878</v>
      </c>
      <c r="D59" s="10" t="s">
        <v>3384</v>
      </c>
      <c r="E59" s="12" t="s">
        <v>3456</v>
      </c>
      <c r="F59" s="16">
        <v>375000</v>
      </c>
    </row>
    <row r="60" spans="1:6" ht="12" customHeight="1" x14ac:dyDescent="0.2">
      <c r="A60" s="8" t="s">
        <v>1316</v>
      </c>
      <c r="B60" s="9">
        <v>16603111411</v>
      </c>
      <c r="C60" s="10">
        <f ca="1">TODAY()-1774</f>
        <v>42447</v>
      </c>
      <c r="D60" s="10" t="s">
        <v>2292</v>
      </c>
      <c r="E60" s="12" t="s">
        <v>3506</v>
      </c>
      <c r="F60" s="16">
        <v>375000</v>
      </c>
    </row>
    <row r="61" spans="1:6" ht="12" customHeight="1" x14ac:dyDescent="0.2">
      <c r="A61" s="8" t="s">
        <v>1986</v>
      </c>
      <c r="B61" s="9">
        <v>29011157198</v>
      </c>
      <c r="C61" s="10">
        <f ca="1">TODAY()-3756</f>
        <v>40465</v>
      </c>
      <c r="D61" s="10" t="s">
        <v>2301</v>
      </c>
      <c r="E61" s="12" t="s">
        <v>3448</v>
      </c>
      <c r="F61" s="16">
        <v>385000</v>
      </c>
    </row>
    <row r="62" spans="1:6" ht="12" customHeight="1" x14ac:dyDescent="0.2">
      <c r="A62" s="8" t="s">
        <v>2089</v>
      </c>
      <c r="B62" s="9">
        <v>26203118036</v>
      </c>
      <c r="C62" s="10">
        <f ca="1">TODAY()-3595</f>
        <v>40626</v>
      </c>
      <c r="D62" s="10" t="s">
        <v>3399</v>
      </c>
      <c r="E62" s="12" t="s">
        <v>3562</v>
      </c>
      <c r="F62" s="16">
        <v>225000</v>
      </c>
    </row>
    <row r="63" spans="1:6" ht="12" customHeight="1" x14ac:dyDescent="0.2">
      <c r="A63" s="8" t="s">
        <v>636</v>
      </c>
      <c r="B63" s="9">
        <v>27704247376</v>
      </c>
      <c r="C63" s="10">
        <f ca="1">TODAY()-922</f>
        <v>43299</v>
      </c>
      <c r="D63" s="10" t="s">
        <v>3387</v>
      </c>
      <c r="E63" s="12" t="s">
        <v>3456</v>
      </c>
      <c r="F63" s="16">
        <v>390000</v>
      </c>
    </row>
    <row r="64" spans="1:6" ht="12" customHeight="1" x14ac:dyDescent="0.2">
      <c r="A64" s="8" t="s">
        <v>540</v>
      </c>
      <c r="B64" s="9">
        <v>18803223763</v>
      </c>
      <c r="C64" s="10">
        <f ca="1">TODAY()-1698</f>
        <v>42523</v>
      </c>
      <c r="D64" s="10" t="s">
        <v>2287</v>
      </c>
      <c r="E64" s="12" t="s">
        <v>3403</v>
      </c>
      <c r="F64" s="16">
        <v>395000</v>
      </c>
    </row>
    <row r="65" spans="1:6" ht="12" customHeight="1" x14ac:dyDescent="0.2">
      <c r="A65" s="8" t="s">
        <v>1632</v>
      </c>
      <c r="B65" s="9">
        <v>17009237754</v>
      </c>
      <c r="C65" s="10">
        <f ca="1">TODAY()-1885</f>
        <v>42336</v>
      </c>
      <c r="D65" s="10" t="s">
        <v>3382</v>
      </c>
      <c r="E65" s="12" t="s">
        <v>3446</v>
      </c>
      <c r="F65" s="16">
        <v>365000</v>
      </c>
    </row>
    <row r="66" spans="1:6" ht="12" customHeight="1" x14ac:dyDescent="0.2">
      <c r="A66" s="8" t="s">
        <v>1068</v>
      </c>
      <c r="B66" s="9">
        <v>16112233360</v>
      </c>
      <c r="C66" s="10">
        <f ca="1">TODAY()-4808</f>
        <v>39413</v>
      </c>
      <c r="D66" s="10" t="s">
        <v>3390</v>
      </c>
      <c r="E66" s="12" t="s">
        <v>3461</v>
      </c>
      <c r="F66" s="16">
        <v>245000</v>
      </c>
    </row>
    <row r="67" spans="1:6" ht="12" customHeight="1" x14ac:dyDescent="0.2">
      <c r="A67" s="8" t="s">
        <v>1211</v>
      </c>
      <c r="B67" s="9">
        <v>27911029320</v>
      </c>
      <c r="C67" s="10">
        <f ca="1">TODAY()-2644</f>
        <v>41577</v>
      </c>
      <c r="D67" s="10" t="s">
        <v>3392</v>
      </c>
      <c r="E67" s="12" t="s">
        <v>3471</v>
      </c>
      <c r="F67" s="16">
        <v>370000</v>
      </c>
    </row>
    <row r="68" spans="1:6" ht="12" customHeight="1" x14ac:dyDescent="0.2">
      <c r="A68" s="8" t="s">
        <v>721</v>
      </c>
      <c r="B68" s="9">
        <v>16309019738</v>
      </c>
      <c r="C68" s="10">
        <f ca="1">TODAY()-1874</f>
        <v>42347</v>
      </c>
      <c r="D68" s="10" t="s">
        <v>3384</v>
      </c>
      <c r="E68" s="12" t="s">
        <v>3553</v>
      </c>
      <c r="F68" s="16">
        <v>220000</v>
      </c>
    </row>
    <row r="69" spans="1:6" ht="12" customHeight="1" x14ac:dyDescent="0.2">
      <c r="A69" s="8" t="s">
        <v>1476</v>
      </c>
      <c r="B69" s="9">
        <v>16402183762</v>
      </c>
      <c r="C69" s="10">
        <f ca="1">TODAY()-711</f>
        <v>43510</v>
      </c>
      <c r="D69" s="10" t="s">
        <v>3385</v>
      </c>
      <c r="E69" s="12" t="s">
        <v>3526</v>
      </c>
      <c r="F69" s="16">
        <v>260000</v>
      </c>
    </row>
    <row r="70" spans="1:6" ht="12" customHeight="1" x14ac:dyDescent="0.2">
      <c r="A70" s="8" t="s">
        <v>1084</v>
      </c>
      <c r="B70" s="9">
        <v>18801068117</v>
      </c>
      <c r="C70" s="10">
        <f ca="1">TODAY()-4286</f>
        <v>39935</v>
      </c>
      <c r="D70" s="10" t="s">
        <v>3386</v>
      </c>
      <c r="E70" s="12" t="s">
        <v>3436</v>
      </c>
      <c r="F70" s="16">
        <v>185000</v>
      </c>
    </row>
    <row r="71" spans="1:6" ht="12" customHeight="1" x14ac:dyDescent="0.2">
      <c r="A71" s="8" t="s">
        <v>1106</v>
      </c>
      <c r="B71" s="9">
        <v>28305061601</v>
      </c>
      <c r="C71" s="10">
        <f ca="1">TODAY()-2527</f>
        <v>41694</v>
      </c>
      <c r="D71" s="10" t="s">
        <v>2299</v>
      </c>
      <c r="E71" s="12" t="s">
        <v>3549</v>
      </c>
      <c r="F71" s="16">
        <v>295000</v>
      </c>
    </row>
    <row r="72" spans="1:6" ht="12" customHeight="1" x14ac:dyDescent="0.2">
      <c r="A72" s="8" t="s">
        <v>818</v>
      </c>
      <c r="B72" s="9">
        <v>18510068382</v>
      </c>
      <c r="C72" s="10">
        <f ca="1">TODAY()-3091</f>
        <v>41130</v>
      </c>
      <c r="D72" s="10" t="s">
        <v>3395</v>
      </c>
      <c r="E72" s="12" t="s">
        <v>3406</v>
      </c>
      <c r="F72" s="16">
        <v>235000</v>
      </c>
    </row>
    <row r="73" spans="1:6" ht="12" customHeight="1" x14ac:dyDescent="0.2">
      <c r="A73" s="8" t="s">
        <v>1305</v>
      </c>
      <c r="B73" s="9">
        <v>19003065829</v>
      </c>
      <c r="C73" s="10">
        <f ca="1">TODAY()-3754</f>
        <v>40467</v>
      </c>
      <c r="D73" s="10" t="s">
        <v>2288</v>
      </c>
      <c r="E73" s="12" t="s">
        <v>3498</v>
      </c>
      <c r="F73" s="16">
        <v>360000</v>
      </c>
    </row>
    <row r="74" spans="1:6" ht="12" customHeight="1" x14ac:dyDescent="0.2">
      <c r="A74" s="8" t="s">
        <v>1363</v>
      </c>
      <c r="B74" s="9">
        <v>26505208803</v>
      </c>
      <c r="C74" s="10">
        <f ca="1">TODAY()-1020</f>
        <v>43201</v>
      </c>
      <c r="D74" s="10" t="s">
        <v>3393</v>
      </c>
      <c r="E74" s="12" t="s">
        <v>3543</v>
      </c>
      <c r="F74" s="16">
        <v>385000</v>
      </c>
    </row>
    <row r="75" spans="1:6" ht="12" customHeight="1" x14ac:dyDescent="0.2">
      <c r="A75" s="8" t="s">
        <v>1481</v>
      </c>
      <c r="B75" s="9">
        <v>17512067538</v>
      </c>
      <c r="C75" s="10">
        <f ca="1">TODAY()-3527</f>
        <v>40694</v>
      </c>
      <c r="D75" s="10" t="s">
        <v>3393</v>
      </c>
      <c r="E75" s="12" t="s">
        <v>3483</v>
      </c>
      <c r="F75" s="16">
        <v>280000</v>
      </c>
    </row>
    <row r="76" spans="1:6" ht="12" customHeight="1" x14ac:dyDescent="0.2">
      <c r="A76" s="8" t="s">
        <v>1205</v>
      </c>
      <c r="B76" s="9">
        <v>19009261383</v>
      </c>
      <c r="C76" s="10">
        <f ca="1">TODAY()-998</f>
        <v>43223</v>
      </c>
      <c r="D76" s="10" t="s">
        <v>2287</v>
      </c>
      <c r="E76" s="12" t="s">
        <v>3500</v>
      </c>
      <c r="F76" s="16">
        <v>485000</v>
      </c>
    </row>
    <row r="77" spans="1:6" ht="12" customHeight="1" x14ac:dyDescent="0.2">
      <c r="A77" s="8" t="s">
        <v>1044</v>
      </c>
      <c r="B77" s="9">
        <v>27311163944</v>
      </c>
      <c r="C77" s="10">
        <f ca="1">TODAY()-4618</f>
        <v>39603</v>
      </c>
      <c r="D77" s="10" t="s">
        <v>3391</v>
      </c>
      <c r="E77" s="12" t="s">
        <v>3418</v>
      </c>
      <c r="F77" s="16">
        <v>245000</v>
      </c>
    </row>
    <row r="78" spans="1:6" ht="12" customHeight="1" x14ac:dyDescent="0.2">
      <c r="A78" s="8" t="s">
        <v>1572</v>
      </c>
      <c r="B78" s="9">
        <v>16209269441</v>
      </c>
      <c r="C78" s="10">
        <f ca="1">TODAY()-4604</f>
        <v>39617</v>
      </c>
      <c r="D78" s="10" t="s">
        <v>2298</v>
      </c>
      <c r="E78" s="12" t="s">
        <v>3414</v>
      </c>
      <c r="F78" s="16">
        <v>210000</v>
      </c>
    </row>
    <row r="79" spans="1:6" ht="12" customHeight="1" x14ac:dyDescent="0.2">
      <c r="A79" s="8" t="s">
        <v>2023</v>
      </c>
      <c r="B79" s="9">
        <v>17408275041</v>
      </c>
      <c r="C79" s="10">
        <f ca="1">TODAY()-808</f>
        <v>43413</v>
      </c>
      <c r="D79" s="10" t="s">
        <v>2290</v>
      </c>
      <c r="E79" s="12" t="s">
        <v>3426</v>
      </c>
      <c r="F79" s="16">
        <v>200000</v>
      </c>
    </row>
    <row r="80" spans="1:6" ht="12" customHeight="1" x14ac:dyDescent="0.2">
      <c r="A80" s="8" t="s">
        <v>910</v>
      </c>
      <c r="B80" s="9">
        <v>16706019560</v>
      </c>
      <c r="C80" s="10">
        <f ca="1">TODAY()-3231</f>
        <v>40990</v>
      </c>
      <c r="D80" s="10" t="s">
        <v>3398</v>
      </c>
      <c r="E80" s="12" t="s">
        <v>3433</v>
      </c>
      <c r="F80" s="16">
        <v>455000</v>
      </c>
    </row>
    <row r="81" spans="1:6" ht="12" customHeight="1" x14ac:dyDescent="0.2">
      <c r="A81" s="8" t="s">
        <v>1041</v>
      </c>
      <c r="B81" s="9">
        <v>17505204418</v>
      </c>
      <c r="C81" s="10">
        <f ca="1">TODAY()-3999</f>
        <v>40222</v>
      </c>
      <c r="D81" s="10" t="s">
        <v>3379</v>
      </c>
      <c r="E81" s="12" t="s">
        <v>3546</v>
      </c>
      <c r="F81" s="16">
        <v>495000</v>
      </c>
    </row>
    <row r="82" spans="1:6" ht="12" customHeight="1" x14ac:dyDescent="0.2">
      <c r="A82" s="8" t="s">
        <v>969</v>
      </c>
      <c r="B82" s="9">
        <v>26502203120</v>
      </c>
      <c r="C82" s="10">
        <f ca="1">TODAY()-3131</f>
        <v>41090</v>
      </c>
      <c r="D82" s="10" t="s">
        <v>2298</v>
      </c>
      <c r="E82" s="12" t="s">
        <v>3504</v>
      </c>
      <c r="F82" s="16">
        <v>365000</v>
      </c>
    </row>
    <row r="83" spans="1:6" ht="12" customHeight="1" x14ac:dyDescent="0.2">
      <c r="A83" s="8" t="s">
        <v>1830</v>
      </c>
      <c r="B83" s="9">
        <v>27005065446</v>
      </c>
      <c r="C83" s="10">
        <f ca="1">TODAY()-2728</f>
        <v>41493</v>
      </c>
      <c r="D83" s="10" t="s">
        <v>3395</v>
      </c>
      <c r="E83" s="12" t="s">
        <v>3508</v>
      </c>
      <c r="F83" s="16">
        <v>350000</v>
      </c>
    </row>
    <row r="84" spans="1:6" ht="12" customHeight="1" x14ac:dyDescent="0.2">
      <c r="A84" s="8" t="s">
        <v>1655</v>
      </c>
      <c r="B84" s="9">
        <v>28107068316</v>
      </c>
      <c r="C84" s="10">
        <f ca="1">TODAY()-4623</f>
        <v>39598</v>
      </c>
      <c r="D84" s="10" t="s">
        <v>2297</v>
      </c>
      <c r="E84" s="12" t="s">
        <v>3445</v>
      </c>
      <c r="F84" s="16">
        <v>200000</v>
      </c>
    </row>
    <row r="85" spans="1:6" ht="12" customHeight="1" x14ac:dyDescent="0.2">
      <c r="A85" s="8" t="s">
        <v>2263</v>
      </c>
      <c r="B85" s="9">
        <v>17303287018</v>
      </c>
      <c r="C85" s="10">
        <f ca="1">TODAY()-4461</f>
        <v>39760</v>
      </c>
      <c r="D85" s="10" t="s">
        <v>3401</v>
      </c>
      <c r="E85" s="12" t="s">
        <v>3469</v>
      </c>
      <c r="F85" s="16">
        <v>185000</v>
      </c>
    </row>
    <row r="86" spans="1:6" ht="12" customHeight="1" x14ac:dyDescent="0.2">
      <c r="A86" s="8" t="s">
        <v>1711</v>
      </c>
      <c r="B86" s="9">
        <v>16103224142</v>
      </c>
      <c r="C86" s="10">
        <f ca="1">TODAY()-4696</f>
        <v>39525</v>
      </c>
      <c r="D86" s="10" t="s">
        <v>3389</v>
      </c>
      <c r="E86" s="12" t="s">
        <v>3553</v>
      </c>
      <c r="F86" s="16">
        <v>235000</v>
      </c>
    </row>
    <row r="87" spans="1:6" ht="12" customHeight="1" x14ac:dyDescent="0.2">
      <c r="A87" s="8" t="s">
        <v>1864</v>
      </c>
      <c r="B87" s="9">
        <v>18104089799</v>
      </c>
      <c r="C87" s="10">
        <f ca="1">TODAY()-2335</f>
        <v>41886</v>
      </c>
      <c r="D87" s="10" t="s">
        <v>3380</v>
      </c>
      <c r="E87" s="12" t="s">
        <v>3423</v>
      </c>
      <c r="F87" s="16">
        <v>235000</v>
      </c>
    </row>
    <row r="88" spans="1:6" ht="12" customHeight="1" x14ac:dyDescent="0.2">
      <c r="A88" s="8" t="s">
        <v>759</v>
      </c>
      <c r="B88" s="9">
        <v>27210226283</v>
      </c>
      <c r="C88" s="10">
        <f ca="1">TODAY()-3122</f>
        <v>41099</v>
      </c>
      <c r="D88" s="10" t="s">
        <v>2286</v>
      </c>
      <c r="E88" s="12" t="s">
        <v>3561</v>
      </c>
      <c r="F88" s="16">
        <v>495000</v>
      </c>
    </row>
    <row r="89" spans="1:6" ht="12" customHeight="1" x14ac:dyDescent="0.2">
      <c r="A89" s="8" t="s">
        <v>1203</v>
      </c>
      <c r="B89" s="9">
        <v>28702085191</v>
      </c>
      <c r="C89" s="10">
        <f ca="1">TODAY()-4728</f>
        <v>39493</v>
      </c>
      <c r="D89" s="10" t="s">
        <v>2288</v>
      </c>
      <c r="E89" s="12" t="s">
        <v>3554</v>
      </c>
      <c r="F89" s="16">
        <v>385000</v>
      </c>
    </row>
    <row r="90" spans="1:6" ht="12" customHeight="1" x14ac:dyDescent="0.2">
      <c r="A90" s="8" t="s">
        <v>856</v>
      </c>
      <c r="B90" s="9">
        <v>18807232382</v>
      </c>
      <c r="C90" s="10">
        <f ca="1">TODAY()-1920</f>
        <v>42301</v>
      </c>
      <c r="D90" s="10" t="s">
        <v>3398</v>
      </c>
      <c r="E90" s="12" t="s">
        <v>3482</v>
      </c>
      <c r="F90" s="16">
        <v>430000</v>
      </c>
    </row>
    <row r="91" spans="1:6" ht="12" customHeight="1" x14ac:dyDescent="0.2">
      <c r="A91" s="8" t="s">
        <v>2243</v>
      </c>
      <c r="B91" s="9">
        <v>28602076357</v>
      </c>
      <c r="C91" s="10">
        <f ca="1">TODAY()-3045</f>
        <v>41176</v>
      </c>
      <c r="D91" s="10" t="s">
        <v>2292</v>
      </c>
      <c r="E91" s="12" t="s">
        <v>3468</v>
      </c>
      <c r="F91" s="16">
        <v>310000</v>
      </c>
    </row>
    <row r="92" spans="1:6" ht="12" customHeight="1" x14ac:dyDescent="0.2">
      <c r="A92" s="8" t="s">
        <v>1285</v>
      </c>
      <c r="B92" s="9">
        <v>28102056422</v>
      </c>
      <c r="C92" s="10">
        <f ca="1">TODAY()-201</f>
        <v>44020</v>
      </c>
      <c r="D92" s="10" t="s">
        <v>2290</v>
      </c>
      <c r="E92" s="12" t="s">
        <v>3531</v>
      </c>
      <c r="F92" s="16">
        <v>375000</v>
      </c>
    </row>
    <row r="93" spans="1:6" ht="12" customHeight="1" x14ac:dyDescent="0.2">
      <c r="A93" s="8" t="s">
        <v>1938</v>
      </c>
      <c r="B93" s="9">
        <v>16603098751</v>
      </c>
      <c r="C93" s="10">
        <f ca="1">TODAY()-4662</f>
        <v>39559</v>
      </c>
      <c r="D93" s="10" t="s">
        <v>2298</v>
      </c>
      <c r="E93" s="12" t="s">
        <v>3532</v>
      </c>
      <c r="F93" s="16">
        <v>235000</v>
      </c>
    </row>
    <row r="94" spans="1:6" ht="12" customHeight="1" x14ac:dyDescent="0.2">
      <c r="A94" s="8" t="s">
        <v>925</v>
      </c>
      <c r="B94" s="9">
        <v>26411233769</v>
      </c>
      <c r="C94" s="10">
        <f ca="1">TODAY()-759</f>
        <v>43462</v>
      </c>
      <c r="D94" s="10" t="s">
        <v>3390</v>
      </c>
      <c r="E94" s="12" t="s">
        <v>3518</v>
      </c>
      <c r="F94" s="16">
        <v>405000</v>
      </c>
    </row>
    <row r="95" spans="1:6" ht="12" customHeight="1" x14ac:dyDescent="0.2">
      <c r="A95" s="8" t="s">
        <v>1967</v>
      </c>
      <c r="B95" s="9">
        <v>16112045715</v>
      </c>
      <c r="C95" s="10">
        <f ca="1">TODAY()-2432</f>
        <v>41789</v>
      </c>
      <c r="D95" s="10" t="s">
        <v>3383</v>
      </c>
      <c r="E95" s="12" t="s">
        <v>3490</v>
      </c>
      <c r="F95" s="16">
        <v>240000</v>
      </c>
    </row>
    <row r="96" spans="1:6" ht="12" customHeight="1" x14ac:dyDescent="0.2">
      <c r="A96" s="8" t="s">
        <v>461</v>
      </c>
      <c r="B96" s="9">
        <v>16008096179</v>
      </c>
      <c r="C96" s="10">
        <f ca="1">TODAY()-4226</f>
        <v>39995</v>
      </c>
      <c r="D96" s="10" t="s">
        <v>2297</v>
      </c>
      <c r="E96" s="12" t="s">
        <v>3547</v>
      </c>
      <c r="F96" s="16">
        <v>490000</v>
      </c>
    </row>
    <row r="97" spans="1:6" ht="12" customHeight="1" x14ac:dyDescent="0.2">
      <c r="A97" s="8" t="s">
        <v>1952</v>
      </c>
      <c r="B97" s="9">
        <v>27201197556</v>
      </c>
      <c r="C97" s="10">
        <f ca="1">TODAY()-1495</f>
        <v>42726</v>
      </c>
      <c r="D97" s="10" t="s">
        <v>3389</v>
      </c>
      <c r="E97" s="12" t="s">
        <v>3435</v>
      </c>
      <c r="F97" s="16">
        <v>190000</v>
      </c>
    </row>
    <row r="98" spans="1:6" ht="12" customHeight="1" x14ac:dyDescent="0.2">
      <c r="A98" s="8" t="s">
        <v>2122</v>
      </c>
      <c r="B98" s="9">
        <v>17605188463</v>
      </c>
      <c r="C98" s="10">
        <f ca="1">TODAY()-3312</f>
        <v>40909</v>
      </c>
      <c r="D98" s="10" t="s">
        <v>2303</v>
      </c>
      <c r="E98" s="12" t="s">
        <v>3463</v>
      </c>
      <c r="F98" s="16">
        <v>390000</v>
      </c>
    </row>
    <row r="99" spans="1:6" ht="12" customHeight="1" x14ac:dyDescent="0.2">
      <c r="A99" s="8" t="s">
        <v>1620</v>
      </c>
      <c r="B99" s="9">
        <v>27307063012</v>
      </c>
      <c r="C99" s="10">
        <f ca="1">TODAY()-3746</f>
        <v>40475</v>
      </c>
      <c r="D99" s="10" t="s">
        <v>2297</v>
      </c>
      <c r="E99" s="12" t="s">
        <v>3493</v>
      </c>
      <c r="F99" s="16">
        <v>280000</v>
      </c>
    </row>
    <row r="100" spans="1:6" ht="12" customHeight="1" x14ac:dyDescent="0.2">
      <c r="A100" s="8" t="s">
        <v>544</v>
      </c>
      <c r="B100" s="9">
        <v>16103152291</v>
      </c>
      <c r="C100" s="10">
        <f ca="1">TODAY()-2204</f>
        <v>42017</v>
      </c>
      <c r="D100" s="10" t="s">
        <v>3396</v>
      </c>
      <c r="E100" s="12" t="s">
        <v>3434</v>
      </c>
      <c r="F100" s="16">
        <v>245000</v>
      </c>
    </row>
    <row r="101" spans="1:6" ht="12" customHeight="1" x14ac:dyDescent="0.2">
      <c r="A101" s="8" t="s">
        <v>1344</v>
      </c>
      <c r="B101" s="9">
        <v>27806249707</v>
      </c>
      <c r="C101" s="10">
        <f ca="1">TODAY()-3597</f>
        <v>40624</v>
      </c>
      <c r="D101" s="10" t="s">
        <v>3385</v>
      </c>
      <c r="E101" s="12" t="s">
        <v>3544</v>
      </c>
      <c r="F101" s="16">
        <v>185000</v>
      </c>
    </row>
    <row r="102" spans="1:6" ht="12" customHeight="1" x14ac:dyDescent="0.2">
      <c r="A102" s="8" t="s">
        <v>1562</v>
      </c>
      <c r="B102" s="9">
        <v>26203051576</v>
      </c>
      <c r="C102" s="10">
        <f ca="1">TODAY()-2980</f>
        <v>41241</v>
      </c>
      <c r="D102" s="10" t="s">
        <v>2291</v>
      </c>
      <c r="E102" s="12" t="s">
        <v>3488</v>
      </c>
      <c r="F102" s="16">
        <v>205000</v>
      </c>
    </row>
    <row r="103" spans="1:6" ht="12" customHeight="1" x14ac:dyDescent="0.2">
      <c r="A103" s="8" t="s">
        <v>1611</v>
      </c>
      <c r="B103" s="9">
        <v>27109189131</v>
      </c>
      <c r="C103" s="10">
        <f ca="1">TODAY()-2845</f>
        <v>41376</v>
      </c>
      <c r="D103" s="10" t="s">
        <v>3399</v>
      </c>
      <c r="E103" s="12" t="s">
        <v>3507</v>
      </c>
      <c r="F103" s="16">
        <v>350000</v>
      </c>
    </row>
    <row r="104" spans="1:6" ht="12" customHeight="1" x14ac:dyDescent="0.2">
      <c r="A104" s="8" t="s">
        <v>1303</v>
      </c>
      <c r="B104" s="9">
        <v>18005066932</v>
      </c>
      <c r="C104" s="10">
        <f ca="1">TODAY()-1180</f>
        <v>43041</v>
      </c>
      <c r="D104" s="10" t="s">
        <v>3396</v>
      </c>
      <c r="E104" s="12" t="s">
        <v>3501</v>
      </c>
      <c r="F104" s="16">
        <v>310000</v>
      </c>
    </row>
    <row r="105" spans="1:6" ht="12" customHeight="1" x14ac:dyDescent="0.2">
      <c r="A105" s="8" t="s">
        <v>624</v>
      </c>
      <c r="B105" s="9">
        <v>27412102154</v>
      </c>
      <c r="C105" s="10">
        <f ca="1">TODAY()-2874</f>
        <v>41347</v>
      </c>
      <c r="D105" s="10" t="s">
        <v>3387</v>
      </c>
      <c r="E105" s="12" t="s">
        <v>3387</v>
      </c>
      <c r="F105" s="16">
        <v>410000</v>
      </c>
    </row>
    <row r="106" spans="1:6" ht="12" customHeight="1" x14ac:dyDescent="0.2">
      <c r="A106" s="8" t="s">
        <v>2163</v>
      </c>
      <c r="B106" s="9">
        <v>17003235214</v>
      </c>
      <c r="C106" s="10">
        <f ca="1">TODAY()-4508</f>
        <v>39713</v>
      </c>
      <c r="D106" s="10" t="s">
        <v>3394</v>
      </c>
      <c r="E106" s="12" t="s">
        <v>3447</v>
      </c>
      <c r="F106" s="16">
        <v>275000</v>
      </c>
    </row>
    <row r="107" spans="1:6" ht="12" customHeight="1" x14ac:dyDescent="0.2">
      <c r="A107" s="8" t="s">
        <v>1737</v>
      </c>
      <c r="B107" s="9">
        <v>28301276928</v>
      </c>
      <c r="C107" s="10">
        <f ca="1">TODAY()-3766</f>
        <v>40455</v>
      </c>
      <c r="D107" s="10" t="s">
        <v>3391</v>
      </c>
      <c r="E107" s="12" t="s">
        <v>3417</v>
      </c>
      <c r="F107" s="16">
        <v>480000</v>
      </c>
    </row>
    <row r="108" spans="1:6" ht="12" customHeight="1" x14ac:dyDescent="0.2">
      <c r="A108" s="8" t="s">
        <v>491</v>
      </c>
      <c r="B108" s="9">
        <v>28202152640</v>
      </c>
      <c r="C108" s="10">
        <f ca="1">TODAY()-1456</f>
        <v>42765</v>
      </c>
      <c r="D108" s="10" t="s">
        <v>2286</v>
      </c>
      <c r="E108" s="12" t="s">
        <v>3516</v>
      </c>
      <c r="F108" s="16">
        <v>325000</v>
      </c>
    </row>
    <row r="109" spans="1:6" ht="12" customHeight="1" x14ac:dyDescent="0.2">
      <c r="A109" s="8" t="s">
        <v>1229</v>
      </c>
      <c r="B109" s="9">
        <v>16309188737</v>
      </c>
      <c r="C109" s="10">
        <f ca="1">TODAY()-602</f>
        <v>43619</v>
      </c>
      <c r="D109" s="10" t="s">
        <v>3379</v>
      </c>
      <c r="E109" s="12" t="s">
        <v>3404</v>
      </c>
      <c r="F109" s="16">
        <v>240000</v>
      </c>
    </row>
    <row r="110" spans="1:6" ht="12" customHeight="1" x14ac:dyDescent="0.2">
      <c r="A110" s="8" t="s">
        <v>1556</v>
      </c>
      <c r="B110" s="9">
        <v>18111074784</v>
      </c>
      <c r="C110" s="10">
        <f ca="1">TODAY()-1084</f>
        <v>43137</v>
      </c>
      <c r="D110" s="10" t="s">
        <v>3400</v>
      </c>
      <c r="E110" s="12" t="s">
        <v>3498</v>
      </c>
      <c r="F110" s="16">
        <v>475000</v>
      </c>
    </row>
    <row r="111" spans="1:6" ht="12" customHeight="1" x14ac:dyDescent="0.2">
      <c r="A111" s="8" t="s">
        <v>1797</v>
      </c>
      <c r="B111" s="9">
        <v>17112178238</v>
      </c>
      <c r="C111" s="10">
        <f ca="1">TODAY()-4682</f>
        <v>39539</v>
      </c>
      <c r="D111" s="10" t="s">
        <v>3394</v>
      </c>
      <c r="E111" s="12" t="s">
        <v>3437</v>
      </c>
      <c r="F111" s="16">
        <v>275000</v>
      </c>
    </row>
    <row r="112" spans="1:6" ht="12" customHeight="1" x14ac:dyDescent="0.2">
      <c r="A112" s="8" t="s">
        <v>641</v>
      </c>
      <c r="B112" s="9">
        <v>17903148408</v>
      </c>
      <c r="C112" s="10">
        <f ca="1">TODAY()-3399</f>
        <v>40822</v>
      </c>
      <c r="D112" s="10" t="s">
        <v>3388</v>
      </c>
      <c r="E112" s="12" t="s">
        <v>3489</v>
      </c>
      <c r="F112" s="16">
        <v>415000</v>
      </c>
    </row>
    <row r="113" spans="1:6" x14ac:dyDescent="0.2">
      <c r="A113" s="8" t="s">
        <v>897</v>
      </c>
      <c r="B113" s="9">
        <v>16111192868</v>
      </c>
      <c r="C113" s="10">
        <f ca="1">TODAY()-2174</f>
        <v>42047</v>
      </c>
      <c r="D113" s="10" t="s">
        <v>3381</v>
      </c>
      <c r="E113" s="12" t="s">
        <v>3516</v>
      </c>
      <c r="F113" s="16">
        <v>405000</v>
      </c>
    </row>
    <row r="114" spans="1:6" x14ac:dyDescent="0.2">
      <c r="A114" s="8" t="s">
        <v>1274</v>
      </c>
      <c r="B114" s="9">
        <v>16804174729</v>
      </c>
      <c r="C114" s="10">
        <f ca="1">TODAY()-2632</f>
        <v>41589</v>
      </c>
      <c r="D114" s="10" t="s">
        <v>3381</v>
      </c>
      <c r="E114" s="12" t="s">
        <v>3381</v>
      </c>
      <c r="F114" s="16">
        <v>445000</v>
      </c>
    </row>
    <row r="115" spans="1:6" x14ac:dyDescent="0.2">
      <c r="A115" s="8" t="s">
        <v>1354</v>
      </c>
      <c r="B115" s="9">
        <v>17712081670</v>
      </c>
      <c r="C115" s="10">
        <f ca="1">TODAY()-4196</f>
        <v>40025</v>
      </c>
      <c r="D115" s="10" t="s">
        <v>2287</v>
      </c>
      <c r="E115" s="12" t="s">
        <v>3541</v>
      </c>
      <c r="F115" s="16">
        <v>435000</v>
      </c>
    </row>
    <row r="116" spans="1:6" x14ac:dyDescent="0.2">
      <c r="A116" s="8" t="s">
        <v>2146</v>
      </c>
      <c r="B116" s="9">
        <v>26010071813</v>
      </c>
      <c r="C116" s="10">
        <f ca="1">TODAY()-2906</f>
        <v>41315</v>
      </c>
      <c r="D116" s="10" t="s">
        <v>2298</v>
      </c>
      <c r="E116" s="12" t="s">
        <v>3533</v>
      </c>
      <c r="F116" s="16">
        <v>445000</v>
      </c>
    </row>
    <row r="117" spans="1:6" x14ac:dyDescent="0.2">
      <c r="A117" s="8" t="s">
        <v>1416</v>
      </c>
      <c r="B117" s="9">
        <v>29001193799</v>
      </c>
      <c r="C117" s="10">
        <f ca="1">TODAY()-4810</f>
        <v>39411</v>
      </c>
      <c r="D117" s="10" t="s">
        <v>2286</v>
      </c>
      <c r="E117" s="12" t="s">
        <v>3494</v>
      </c>
      <c r="F117" s="16">
        <v>420000</v>
      </c>
    </row>
    <row r="118" spans="1:6" x14ac:dyDescent="0.2">
      <c r="A118" s="8" t="s">
        <v>1539</v>
      </c>
      <c r="B118" s="9">
        <v>16204185228</v>
      </c>
      <c r="C118" s="10">
        <f ca="1">TODAY()-1237</f>
        <v>42984</v>
      </c>
      <c r="D118" s="10" t="s">
        <v>2296</v>
      </c>
      <c r="E118" s="12" t="s">
        <v>3554</v>
      </c>
      <c r="F118" s="16">
        <v>415000</v>
      </c>
    </row>
    <row r="119" spans="1:6" x14ac:dyDescent="0.2">
      <c r="A119" s="8" t="s">
        <v>1085</v>
      </c>
      <c r="B119" s="9">
        <v>18807074865</v>
      </c>
      <c r="C119" s="10">
        <f ca="1">TODAY()-4555</f>
        <v>39666</v>
      </c>
      <c r="D119" s="10" t="s">
        <v>3390</v>
      </c>
      <c r="E119" s="12" t="s">
        <v>3456</v>
      </c>
      <c r="F119" s="16">
        <v>255000</v>
      </c>
    </row>
    <row r="120" spans="1:6" x14ac:dyDescent="0.2">
      <c r="A120" s="8" t="s">
        <v>982</v>
      </c>
      <c r="B120" s="9">
        <v>27103089536</v>
      </c>
      <c r="C120" s="10">
        <f ca="1">TODAY()-3421</f>
        <v>40800</v>
      </c>
      <c r="D120" s="10" t="s">
        <v>3388</v>
      </c>
      <c r="E120" s="12" t="s">
        <v>3522</v>
      </c>
      <c r="F120" s="16">
        <v>390000</v>
      </c>
    </row>
    <row r="121" spans="1:6" ht="12" customHeight="1" x14ac:dyDescent="0.2">
      <c r="A121" s="8" t="s">
        <v>1083</v>
      </c>
      <c r="B121" s="9">
        <v>17703146609</v>
      </c>
      <c r="C121" s="10">
        <f ca="1">TODAY()-1573</f>
        <v>42648</v>
      </c>
      <c r="D121" s="10" t="s">
        <v>2296</v>
      </c>
      <c r="E121" s="12" t="s">
        <v>3473</v>
      </c>
      <c r="F121" s="16">
        <v>310000</v>
      </c>
    </row>
    <row r="122" spans="1:6" x14ac:dyDescent="0.2">
      <c r="A122" s="8" t="s">
        <v>997</v>
      </c>
      <c r="B122" s="9">
        <v>27605036286</v>
      </c>
      <c r="C122" s="10">
        <f ca="1">TODAY()-952</f>
        <v>43269</v>
      </c>
      <c r="D122" s="10" t="s">
        <v>3381</v>
      </c>
      <c r="E122" s="12" t="s">
        <v>3461</v>
      </c>
      <c r="F122" s="16">
        <v>230000</v>
      </c>
    </row>
    <row r="123" spans="1:6" x14ac:dyDescent="0.2">
      <c r="A123" s="8" t="s">
        <v>1881</v>
      </c>
      <c r="B123" s="9">
        <v>16503246928</v>
      </c>
      <c r="C123" s="10">
        <f ca="1">TODAY()-2025</f>
        <v>42196</v>
      </c>
      <c r="D123" s="10" t="s">
        <v>2284</v>
      </c>
      <c r="E123" s="12" t="s">
        <v>3506</v>
      </c>
      <c r="F123" s="16">
        <v>465000</v>
      </c>
    </row>
    <row r="124" spans="1:6" x14ac:dyDescent="0.2">
      <c r="A124" s="8" t="s">
        <v>468</v>
      </c>
      <c r="B124" s="9">
        <v>18107094206</v>
      </c>
      <c r="C124" s="10">
        <f ca="1">TODAY()-4952</f>
        <v>39269</v>
      </c>
      <c r="D124" s="10" t="s">
        <v>3381</v>
      </c>
      <c r="E124" s="12" t="s">
        <v>3466</v>
      </c>
      <c r="F124" s="16">
        <v>280000</v>
      </c>
    </row>
    <row r="125" spans="1:6" x14ac:dyDescent="0.2">
      <c r="A125" s="8" t="s">
        <v>2187</v>
      </c>
      <c r="B125" s="9">
        <v>16712198865</v>
      </c>
      <c r="C125" s="10">
        <f ca="1">TODAY()-4716</f>
        <v>39505</v>
      </c>
      <c r="D125" s="10" t="s">
        <v>3383</v>
      </c>
      <c r="E125" s="12" t="s">
        <v>3517</v>
      </c>
      <c r="F125" s="16">
        <v>385000</v>
      </c>
    </row>
    <row r="126" spans="1:6" x14ac:dyDescent="0.2">
      <c r="A126" s="8" t="s">
        <v>2045</v>
      </c>
      <c r="B126" s="9">
        <v>18309155414</v>
      </c>
      <c r="C126" s="10">
        <f ca="1">TODAY()-3629</f>
        <v>40592</v>
      </c>
      <c r="D126" s="10" t="s">
        <v>3384</v>
      </c>
      <c r="E126" s="12" t="s">
        <v>3559</v>
      </c>
      <c r="F126" s="16">
        <v>185000</v>
      </c>
    </row>
    <row r="127" spans="1:6" x14ac:dyDescent="0.2">
      <c r="A127" s="8" t="s">
        <v>1940</v>
      </c>
      <c r="B127" s="9">
        <v>27211137562</v>
      </c>
      <c r="C127" s="10">
        <f ca="1">TODAY()-238</f>
        <v>43983</v>
      </c>
      <c r="D127" s="10" t="s">
        <v>3401</v>
      </c>
      <c r="E127" s="12" t="s">
        <v>3401</v>
      </c>
      <c r="F127" s="16">
        <v>480000</v>
      </c>
    </row>
    <row r="128" spans="1:6" x14ac:dyDescent="0.2">
      <c r="A128" s="8" t="s">
        <v>2032</v>
      </c>
      <c r="B128" s="9">
        <v>18706133914</v>
      </c>
      <c r="C128" s="10">
        <f ca="1">TODAY()-4920</f>
        <v>39301</v>
      </c>
      <c r="D128" s="10" t="s">
        <v>3392</v>
      </c>
      <c r="E128" s="12" t="s">
        <v>3403</v>
      </c>
      <c r="F128" s="16">
        <v>485000</v>
      </c>
    </row>
    <row r="129" spans="1:6" x14ac:dyDescent="0.2">
      <c r="A129" s="8" t="s">
        <v>2170</v>
      </c>
      <c r="B129" s="9">
        <v>18301078883</v>
      </c>
      <c r="C129" s="10">
        <f ca="1">TODAY()-485</f>
        <v>43736</v>
      </c>
      <c r="D129" s="10" t="s">
        <v>3380</v>
      </c>
      <c r="E129" s="12" t="s">
        <v>3505</v>
      </c>
      <c r="F129" s="16">
        <v>400000</v>
      </c>
    </row>
    <row r="130" spans="1:6" x14ac:dyDescent="0.2">
      <c r="A130" s="8" t="s">
        <v>2018</v>
      </c>
      <c r="B130" s="9">
        <v>18906043627</v>
      </c>
      <c r="C130" s="10">
        <f ca="1">TODAY()-4216</f>
        <v>40005</v>
      </c>
      <c r="D130" s="10" t="s">
        <v>2298</v>
      </c>
      <c r="E130" s="12" t="s">
        <v>3520</v>
      </c>
      <c r="F130" s="16">
        <v>380000</v>
      </c>
    </row>
    <row r="131" spans="1:6" x14ac:dyDescent="0.2">
      <c r="A131" s="8" t="s">
        <v>1941</v>
      </c>
      <c r="B131" s="9">
        <v>18008104948</v>
      </c>
      <c r="C131" s="10">
        <f ca="1">TODAY()-950</f>
        <v>43271</v>
      </c>
      <c r="D131" s="10" t="s">
        <v>3382</v>
      </c>
      <c r="E131" s="12" t="s">
        <v>3382</v>
      </c>
      <c r="F131" s="16">
        <v>315000</v>
      </c>
    </row>
    <row r="132" spans="1:6" x14ac:dyDescent="0.2">
      <c r="A132" s="8" t="s">
        <v>1843</v>
      </c>
      <c r="B132" s="9">
        <v>17711288694</v>
      </c>
      <c r="C132" s="10">
        <f ca="1">TODAY()-1175</f>
        <v>43046</v>
      </c>
      <c r="D132" s="10" t="s">
        <v>3401</v>
      </c>
      <c r="E132" s="12" t="s">
        <v>3422</v>
      </c>
      <c r="F132" s="16">
        <v>325000</v>
      </c>
    </row>
    <row r="133" spans="1:6" x14ac:dyDescent="0.2">
      <c r="A133" s="8" t="s">
        <v>745</v>
      </c>
      <c r="B133" s="9">
        <v>16710142977</v>
      </c>
      <c r="C133" s="10">
        <f ca="1">TODAY()-1187</f>
        <v>43034</v>
      </c>
      <c r="D133" s="10" t="s">
        <v>3378</v>
      </c>
      <c r="E133" s="12" t="s">
        <v>3483</v>
      </c>
      <c r="F133" s="16">
        <v>435000</v>
      </c>
    </row>
    <row r="134" spans="1:6" x14ac:dyDescent="0.2">
      <c r="A134" s="8" t="s">
        <v>1678</v>
      </c>
      <c r="B134" s="9">
        <v>26102054303</v>
      </c>
      <c r="C134" s="10">
        <f ca="1">TODAY()-994</f>
        <v>43227</v>
      </c>
      <c r="D134" s="10" t="s">
        <v>2298</v>
      </c>
      <c r="E134" s="12" t="s">
        <v>3498</v>
      </c>
      <c r="F134" s="16">
        <v>405000</v>
      </c>
    </row>
    <row r="135" spans="1:6" x14ac:dyDescent="0.2">
      <c r="A135" s="8" t="s">
        <v>729</v>
      </c>
      <c r="B135" s="9">
        <v>16112239781</v>
      </c>
      <c r="C135" s="10">
        <f ca="1">TODAY()-493</f>
        <v>43728</v>
      </c>
      <c r="D135" s="10" t="s">
        <v>3382</v>
      </c>
      <c r="E135" s="12" t="s">
        <v>3438</v>
      </c>
      <c r="F135" s="16">
        <v>310000</v>
      </c>
    </row>
    <row r="136" spans="1:6" x14ac:dyDescent="0.2">
      <c r="A136" s="8" t="s">
        <v>900</v>
      </c>
      <c r="B136" s="9">
        <v>16302198806</v>
      </c>
      <c r="C136" s="10">
        <f ca="1">TODAY()-473</f>
        <v>43748</v>
      </c>
      <c r="D136" s="10" t="s">
        <v>3383</v>
      </c>
      <c r="E136" s="12" t="s">
        <v>3469</v>
      </c>
      <c r="F136" s="16">
        <v>305000</v>
      </c>
    </row>
    <row r="137" spans="1:6" x14ac:dyDescent="0.2">
      <c r="A137" s="8" t="s">
        <v>666</v>
      </c>
      <c r="B137" s="9">
        <v>17311183050</v>
      </c>
      <c r="C137" s="10">
        <f ca="1">TODAY()-4395</f>
        <v>39826</v>
      </c>
      <c r="D137" s="10" t="s">
        <v>2297</v>
      </c>
      <c r="E137" s="12" t="s">
        <v>3499</v>
      </c>
      <c r="F137" s="16">
        <v>405000</v>
      </c>
    </row>
    <row r="138" spans="1:6" x14ac:dyDescent="0.2">
      <c r="A138" s="8" t="s">
        <v>1800</v>
      </c>
      <c r="B138" s="9">
        <v>18010136685</v>
      </c>
      <c r="C138" s="10">
        <f ca="1">TODAY()-4512</f>
        <v>39709</v>
      </c>
      <c r="D138" s="10" t="s">
        <v>2285</v>
      </c>
      <c r="E138" s="12" t="s">
        <v>3430</v>
      </c>
      <c r="F138" s="16">
        <v>230000</v>
      </c>
    </row>
    <row r="139" spans="1:6" x14ac:dyDescent="0.2">
      <c r="A139" s="8" t="s">
        <v>905</v>
      </c>
      <c r="B139" s="9">
        <v>17602176204</v>
      </c>
      <c r="C139" s="10">
        <f ca="1">TODAY()-4711</f>
        <v>39510</v>
      </c>
      <c r="D139" s="10" t="s">
        <v>2284</v>
      </c>
      <c r="E139" s="12" t="s">
        <v>3536</v>
      </c>
      <c r="F139" s="16">
        <v>210000</v>
      </c>
    </row>
    <row r="140" spans="1:6" x14ac:dyDescent="0.2">
      <c r="A140" s="8" t="s">
        <v>1534</v>
      </c>
      <c r="B140" s="9">
        <v>16404022158</v>
      </c>
      <c r="C140" s="10">
        <f ca="1">TODAY()-3551</f>
        <v>40670</v>
      </c>
      <c r="D140" s="10" t="s">
        <v>3380</v>
      </c>
      <c r="E140" s="12" t="s">
        <v>3380</v>
      </c>
      <c r="F140" s="16">
        <v>240000</v>
      </c>
    </row>
    <row r="141" spans="1:6" x14ac:dyDescent="0.2">
      <c r="A141" s="8" t="s">
        <v>1962</v>
      </c>
      <c r="B141" s="9">
        <v>18403258610</v>
      </c>
      <c r="C141" s="10">
        <f ca="1">TODAY()-2657</f>
        <v>41564</v>
      </c>
      <c r="D141" s="10" t="s">
        <v>3389</v>
      </c>
      <c r="E141" s="12" t="s">
        <v>3536</v>
      </c>
      <c r="F141" s="16">
        <v>420000</v>
      </c>
    </row>
    <row r="142" spans="1:6" x14ac:dyDescent="0.2">
      <c r="A142" s="8" t="s">
        <v>2075</v>
      </c>
      <c r="B142" s="9">
        <v>28202112393</v>
      </c>
      <c r="C142" s="10">
        <f ca="1">TODAY()-4075</f>
        <v>40146</v>
      </c>
      <c r="D142" s="10" t="s">
        <v>3380</v>
      </c>
      <c r="E142" s="12" t="s">
        <v>3453</v>
      </c>
      <c r="F142" s="16">
        <v>395000</v>
      </c>
    </row>
    <row r="143" spans="1:6" x14ac:dyDescent="0.2">
      <c r="A143" s="8" t="s">
        <v>1012</v>
      </c>
      <c r="B143" s="9">
        <v>28512214125</v>
      </c>
      <c r="C143" s="10">
        <f ca="1">TODAY()-2279</f>
        <v>41942</v>
      </c>
      <c r="D143" s="10" t="s">
        <v>2285</v>
      </c>
      <c r="E143" s="12" t="s">
        <v>3435</v>
      </c>
      <c r="F143" s="16">
        <v>195000</v>
      </c>
    </row>
    <row r="144" spans="1:6" x14ac:dyDescent="0.2">
      <c r="A144" s="8" t="s">
        <v>1569</v>
      </c>
      <c r="B144" s="9">
        <v>26310012192</v>
      </c>
      <c r="C144" s="10">
        <f ca="1">TODAY()-1584</f>
        <v>42637</v>
      </c>
      <c r="D144" s="10" t="s">
        <v>2289</v>
      </c>
      <c r="E144" s="12" t="s">
        <v>3553</v>
      </c>
      <c r="F144" s="16">
        <v>300000</v>
      </c>
    </row>
    <row r="145" spans="1:6" x14ac:dyDescent="0.2">
      <c r="A145" s="8" t="s">
        <v>665</v>
      </c>
      <c r="B145" s="9">
        <v>16605229820</v>
      </c>
      <c r="C145" s="10">
        <f ca="1">TODAY()-385</f>
        <v>43836</v>
      </c>
      <c r="D145" s="10" t="s">
        <v>2301</v>
      </c>
      <c r="E145" s="12" t="s">
        <v>3533</v>
      </c>
      <c r="F145" s="16">
        <v>310000</v>
      </c>
    </row>
    <row r="146" spans="1:6" x14ac:dyDescent="0.2">
      <c r="A146" s="8" t="s">
        <v>977</v>
      </c>
      <c r="B146" s="9">
        <v>18007035613</v>
      </c>
      <c r="C146" s="10">
        <f ca="1">TODAY()-4423</f>
        <v>39798</v>
      </c>
      <c r="D146" s="10" t="s">
        <v>2299</v>
      </c>
      <c r="E146" s="12" t="s">
        <v>3447</v>
      </c>
      <c r="F146" s="16">
        <v>285000</v>
      </c>
    </row>
    <row r="147" spans="1:6" x14ac:dyDescent="0.2">
      <c r="A147" s="8" t="s">
        <v>748</v>
      </c>
      <c r="B147" s="9">
        <v>16602022233</v>
      </c>
      <c r="C147" s="10">
        <f ca="1">TODAY()-1021</f>
        <v>43200</v>
      </c>
      <c r="D147" s="10" t="s">
        <v>2302</v>
      </c>
      <c r="E147" s="12" t="s">
        <v>3521</v>
      </c>
      <c r="F147" s="16">
        <v>405000</v>
      </c>
    </row>
    <row r="148" spans="1:6" x14ac:dyDescent="0.2">
      <c r="A148" s="8" t="s">
        <v>916</v>
      </c>
      <c r="B148" s="9">
        <v>28211032303</v>
      </c>
      <c r="C148" s="10">
        <f ca="1">TODAY()-3384</f>
        <v>40837</v>
      </c>
      <c r="D148" s="10" t="s">
        <v>3378</v>
      </c>
      <c r="E148" s="12" t="s">
        <v>3422</v>
      </c>
      <c r="F148" s="16">
        <v>435000</v>
      </c>
    </row>
    <row r="149" spans="1:6" x14ac:dyDescent="0.2">
      <c r="A149" s="8" t="s">
        <v>866</v>
      </c>
      <c r="B149" s="9">
        <v>17211281297</v>
      </c>
      <c r="C149" s="10">
        <f ca="1">TODAY()-929</f>
        <v>43292</v>
      </c>
      <c r="D149" s="10" t="s">
        <v>2286</v>
      </c>
      <c r="E149" s="12" t="s">
        <v>3539</v>
      </c>
      <c r="F149" s="16">
        <v>350000</v>
      </c>
    </row>
    <row r="150" spans="1:6" x14ac:dyDescent="0.2">
      <c r="A150" s="8" t="s">
        <v>1813</v>
      </c>
      <c r="B150" s="9">
        <v>27007237600</v>
      </c>
      <c r="C150" s="10">
        <f ca="1">TODAY()-1928</f>
        <v>42293</v>
      </c>
      <c r="D150" s="10" t="s">
        <v>3385</v>
      </c>
      <c r="E150" s="12" t="s">
        <v>3555</v>
      </c>
      <c r="F150" s="16">
        <v>285000</v>
      </c>
    </row>
    <row r="151" spans="1:6" x14ac:dyDescent="0.2">
      <c r="A151" s="8" t="s">
        <v>1001</v>
      </c>
      <c r="B151" s="9">
        <v>18603236423</v>
      </c>
      <c r="C151" s="10">
        <f ca="1">TODAY()-3193</f>
        <v>41028</v>
      </c>
      <c r="D151" s="10" t="s">
        <v>3402</v>
      </c>
      <c r="E151" s="12" t="s">
        <v>3433</v>
      </c>
      <c r="F151" s="16">
        <v>345000</v>
      </c>
    </row>
    <row r="152" spans="1:6" x14ac:dyDescent="0.2">
      <c r="A152" s="8" t="s">
        <v>1804</v>
      </c>
      <c r="B152" s="9">
        <v>17204048729</v>
      </c>
      <c r="C152" s="10">
        <f ca="1">TODAY()-1410</f>
        <v>42811</v>
      </c>
      <c r="D152" s="10" t="s">
        <v>2299</v>
      </c>
      <c r="E152" s="12" t="s">
        <v>3492</v>
      </c>
      <c r="F152" s="16">
        <v>430000</v>
      </c>
    </row>
    <row r="153" spans="1:6" x14ac:dyDescent="0.2">
      <c r="A153" s="8" t="s">
        <v>1540</v>
      </c>
      <c r="B153" s="9">
        <v>27405036770</v>
      </c>
      <c r="C153" s="10">
        <f ca="1">TODAY()-1683</f>
        <v>42538</v>
      </c>
      <c r="D153" s="10" t="s">
        <v>3380</v>
      </c>
      <c r="E153" s="12" t="s">
        <v>3471</v>
      </c>
      <c r="F153" s="16">
        <v>220000</v>
      </c>
    </row>
    <row r="154" spans="1:6" x14ac:dyDescent="0.2">
      <c r="A154" s="8" t="s">
        <v>678</v>
      </c>
      <c r="B154" s="9">
        <v>19010213256</v>
      </c>
      <c r="C154" s="10">
        <f ca="1">TODAY()-2788</f>
        <v>41433</v>
      </c>
      <c r="D154" s="10" t="s">
        <v>2285</v>
      </c>
      <c r="E154" s="12" t="s">
        <v>3535</v>
      </c>
      <c r="F154" s="16">
        <v>345000</v>
      </c>
    </row>
    <row r="155" spans="1:6" x14ac:dyDescent="0.2">
      <c r="A155" s="8" t="s">
        <v>1017</v>
      </c>
      <c r="B155" s="9">
        <v>17101284246</v>
      </c>
      <c r="C155" s="10">
        <f ca="1">TODAY()-1215</f>
        <v>43006</v>
      </c>
      <c r="D155" s="10" t="s">
        <v>3391</v>
      </c>
      <c r="E155" s="12" t="s">
        <v>3564</v>
      </c>
      <c r="F155" s="16">
        <v>225000</v>
      </c>
    </row>
    <row r="156" spans="1:6" x14ac:dyDescent="0.2">
      <c r="A156" s="8" t="s">
        <v>937</v>
      </c>
      <c r="B156" s="9">
        <v>27208275120</v>
      </c>
      <c r="C156" s="10">
        <f ca="1">TODAY()-1288</f>
        <v>42933</v>
      </c>
      <c r="D156" s="10" t="s">
        <v>2304</v>
      </c>
      <c r="E156" s="12" t="s">
        <v>3450</v>
      </c>
      <c r="F156" s="16">
        <v>455000</v>
      </c>
    </row>
    <row r="157" spans="1:6" x14ac:dyDescent="0.2">
      <c r="A157" s="8" t="s">
        <v>1806</v>
      </c>
      <c r="B157" s="9">
        <v>26501121528</v>
      </c>
      <c r="C157" s="10">
        <f ca="1">TODAY()-2218</f>
        <v>42003</v>
      </c>
      <c r="D157" s="10" t="s">
        <v>2286</v>
      </c>
      <c r="E157" s="12" t="s">
        <v>2286</v>
      </c>
      <c r="F157" s="16">
        <v>325000</v>
      </c>
    </row>
    <row r="158" spans="1:6" x14ac:dyDescent="0.2">
      <c r="A158" s="8" t="s">
        <v>767</v>
      </c>
      <c r="B158" s="9">
        <v>16906042719</v>
      </c>
      <c r="C158" s="10">
        <f ca="1">TODAY()-3965</f>
        <v>40256</v>
      </c>
      <c r="D158" s="10" t="s">
        <v>2296</v>
      </c>
      <c r="E158" s="12" t="s">
        <v>3479</v>
      </c>
      <c r="F158" s="16">
        <v>445000</v>
      </c>
    </row>
    <row r="159" spans="1:6" x14ac:dyDescent="0.2">
      <c r="A159" s="8" t="s">
        <v>618</v>
      </c>
      <c r="B159" s="9">
        <v>17409152138</v>
      </c>
      <c r="C159" s="10">
        <f ca="1">TODAY()-168</f>
        <v>44053</v>
      </c>
      <c r="D159" s="10" t="s">
        <v>2302</v>
      </c>
      <c r="E159" s="12" t="s">
        <v>3555</v>
      </c>
      <c r="F159" s="16">
        <v>280000</v>
      </c>
    </row>
    <row r="160" spans="1:6" x14ac:dyDescent="0.2">
      <c r="A160" s="8" t="s">
        <v>1694</v>
      </c>
      <c r="B160" s="9">
        <v>16206089056</v>
      </c>
      <c r="C160" s="10">
        <f ca="1">TODAY()-4170</f>
        <v>40051</v>
      </c>
      <c r="D160" s="10" t="s">
        <v>2294</v>
      </c>
      <c r="E160" s="12" t="s">
        <v>3454</v>
      </c>
      <c r="F160" s="16">
        <v>410000</v>
      </c>
    </row>
    <row r="161" spans="1:6" x14ac:dyDescent="0.2">
      <c r="A161" s="8" t="s">
        <v>868</v>
      </c>
      <c r="B161" s="9">
        <v>26401289216</v>
      </c>
      <c r="C161" s="10">
        <f ca="1">TODAY()-3265</f>
        <v>40956</v>
      </c>
      <c r="D161" s="10" t="s">
        <v>2286</v>
      </c>
      <c r="E161" s="12" t="s">
        <v>3428</v>
      </c>
      <c r="F161" s="16">
        <v>175000</v>
      </c>
    </row>
    <row r="162" spans="1:6" x14ac:dyDescent="0.2">
      <c r="A162" s="8" t="s">
        <v>1832</v>
      </c>
      <c r="B162" s="9">
        <v>27411161557</v>
      </c>
      <c r="C162" s="10">
        <f ca="1">TODAY()-3173</f>
        <v>41048</v>
      </c>
      <c r="D162" s="10" t="s">
        <v>2284</v>
      </c>
      <c r="E162" s="12" t="s">
        <v>3562</v>
      </c>
      <c r="F162" s="16">
        <v>225000</v>
      </c>
    </row>
    <row r="163" spans="1:6" x14ac:dyDescent="0.2">
      <c r="A163" s="8" t="s">
        <v>1202</v>
      </c>
      <c r="B163" s="9">
        <v>18910088897</v>
      </c>
      <c r="C163" s="10">
        <f ca="1">TODAY()-2349</f>
        <v>41872</v>
      </c>
      <c r="D163" s="10" t="s">
        <v>3382</v>
      </c>
      <c r="E163" s="12" t="s">
        <v>3464</v>
      </c>
      <c r="F163" s="16">
        <v>180000</v>
      </c>
    </row>
    <row r="164" spans="1:6" x14ac:dyDescent="0.2">
      <c r="A164" s="8" t="s">
        <v>847</v>
      </c>
      <c r="B164" s="9">
        <v>18607127841</v>
      </c>
      <c r="C164" s="10">
        <f ca="1">TODAY()-2187</f>
        <v>42034</v>
      </c>
      <c r="D164" s="10" t="s">
        <v>3398</v>
      </c>
      <c r="E164" s="12" t="s">
        <v>3398</v>
      </c>
      <c r="F164" s="16">
        <v>305000</v>
      </c>
    </row>
    <row r="165" spans="1:6" x14ac:dyDescent="0.2">
      <c r="A165" s="8" t="s">
        <v>2186</v>
      </c>
      <c r="B165" s="9">
        <v>17202289731</v>
      </c>
      <c r="C165" s="10">
        <f ca="1">TODAY()-1391</f>
        <v>42830</v>
      </c>
      <c r="D165" s="10" t="s">
        <v>2286</v>
      </c>
      <c r="E165" s="12" t="s">
        <v>3532</v>
      </c>
      <c r="F165" s="16">
        <v>410000</v>
      </c>
    </row>
    <row r="166" spans="1:6" x14ac:dyDescent="0.2">
      <c r="A166" s="8" t="s">
        <v>1251</v>
      </c>
      <c r="B166" s="9">
        <v>18711252841</v>
      </c>
      <c r="C166" s="10">
        <f ca="1">TODAY()-1622</f>
        <v>42599</v>
      </c>
      <c r="D166" s="10" t="s">
        <v>2291</v>
      </c>
      <c r="E166" s="12" t="s">
        <v>3459</v>
      </c>
      <c r="F166" s="16">
        <v>230000</v>
      </c>
    </row>
    <row r="167" spans="1:6" x14ac:dyDescent="0.2">
      <c r="A167" s="8" t="s">
        <v>1862</v>
      </c>
      <c r="B167" s="9">
        <v>17602267130</v>
      </c>
      <c r="C167" s="10">
        <f ca="1">TODAY()-1085</f>
        <v>43136</v>
      </c>
      <c r="D167" s="10" t="s">
        <v>3391</v>
      </c>
      <c r="E167" s="12" t="s">
        <v>3463</v>
      </c>
      <c r="F167" s="16">
        <v>445000</v>
      </c>
    </row>
    <row r="168" spans="1:6" x14ac:dyDescent="0.2">
      <c r="A168" s="8" t="s">
        <v>1892</v>
      </c>
      <c r="B168" s="9">
        <v>27603128967</v>
      </c>
      <c r="C168" s="10">
        <f ca="1">TODAY()-2884</f>
        <v>41337</v>
      </c>
      <c r="D168" s="10" t="s">
        <v>2288</v>
      </c>
      <c r="E168" s="12" t="s">
        <v>3533</v>
      </c>
      <c r="F168" s="16">
        <v>355000</v>
      </c>
    </row>
    <row r="169" spans="1:6" x14ac:dyDescent="0.2">
      <c r="A169" s="8" t="s">
        <v>1712</v>
      </c>
      <c r="B169" s="9">
        <v>16411024061</v>
      </c>
      <c r="C169" s="10">
        <f ca="1">TODAY()-4073</f>
        <v>40148</v>
      </c>
      <c r="D169" s="10" t="s">
        <v>2286</v>
      </c>
      <c r="E169" s="12" t="s">
        <v>3484</v>
      </c>
      <c r="F169" s="16">
        <v>195000</v>
      </c>
    </row>
    <row r="170" spans="1:6" x14ac:dyDescent="0.2">
      <c r="A170" s="8" t="s">
        <v>617</v>
      </c>
      <c r="B170" s="9">
        <v>16311145341</v>
      </c>
      <c r="C170" s="10">
        <f ca="1">TODAY()-3218</f>
        <v>41003</v>
      </c>
      <c r="D170" s="10" t="s">
        <v>2301</v>
      </c>
      <c r="E170" s="12" t="s">
        <v>2301</v>
      </c>
      <c r="F170" s="16">
        <v>180000</v>
      </c>
    </row>
    <row r="171" spans="1:6" x14ac:dyDescent="0.2">
      <c r="A171" s="8" t="s">
        <v>1515</v>
      </c>
      <c r="B171" s="9">
        <v>26111227169</v>
      </c>
      <c r="C171" s="10">
        <f ca="1">TODAY()-2988</f>
        <v>41233</v>
      </c>
      <c r="D171" s="10" t="s">
        <v>2293</v>
      </c>
      <c r="E171" s="12" t="s">
        <v>3546</v>
      </c>
      <c r="F171" s="16">
        <v>200000</v>
      </c>
    </row>
    <row r="172" spans="1:6" x14ac:dyDescent="0.2">
      <c r="A172" s="8" t="s">
        <v>2161</v>
      </c>
      <c r="B172" s="9">
        <v>27301197657</v>
      </c>
      <c r="C172" s="10">
        <f ca="1">TODAY()-270</f>
        <v>43951</v>
      </c>
      <c r="D172" s="10" t="s">
        <v>2288</v>
      </c>
      <c r="E172" s="12" t="s">
        <v>3519</v>
      </c>
      <c r="F172" s="16">
        <v>480000</v>
      </c>
    </row>
    <row r="173" spans="1:6" x14ac:dyDescent="0.2">
      <c r="A173" s="8" t="s">
        <v>1783</v>
      </c>
      <c r="B173" s="9">
        <v>19009178510</v>
      </c>
      <c r="C173" s="10">
        <f ca="1">TODAY()-4231</f>
        <v>39990</v>
      </c>
      <c r="D173" s="10" t="s">
        <v>2294</v>
      </c>
      <c r="E173" s="12" t="s">
        <v>3421</v>
      </c>
      <c r="F173" s="16">
        <v>360000</v>
      </c>
    </row>
    <row r="174" spans="1:6" x14ac:dyDescent="0.2">
      <c r="A174" s="8" t="s">
        <v>1516</v>
      </c>
      <c r="B174" s="9">
        <v>26703011569</v>
      </c>
      <c r="C174" s="10">
        <f ca="1">TODAY()-705</f>
        <v>43516</v>
      </c>
      <c r="D174" s="10" t="s">
        <v>3391</v>
      </c>
      <c r="E174" s="12" t="s">
        <v>3409</v>
      </c>
      <c r="F174" s="16">
        <v>285000</v>
      </c>
    </row>
    <row r="175" spans="1:6" x14ac:dyDescent="0.2">
      <c r="A175" s="8" t="s">
        <v>1072</v>
      </c>
      <c r="B175" s="9">
        <v>27706089637</v>
      </c>
      <c r="C175" s="10">
        <f ca="1">TODAY()-3422</f>
        <v>40799</v>
      </c>
      <c r="D175" s="10" t="s">
        <v>2293</v>
      </c>
      <c r="E175" s="12" t="s">
        <v>3472</v>
      </c>
      <c r="F175" s="16">
        <v>280000</v>
      </c>
    </row>
    <row r="176" spans="1:6" x14ac:dyDescent="0.2">
      <c r="A176" s="8" t="s">
        <v>2127</v>
      </c>
      <c r="B176" s="9">
        <v>17010077019</v>
      </c>
      <c r="C176" s="10">
        <f ca="1">TODAY()-4449</f>
        <v>39772</v>
      </c>
      <c r="D176" s="10" t="s">
        <v>2299</v>
      </c>
      <c r="E176" s="12" t="s">
        <v>3538</v>
      </c>
      <c r="F176" s="16">
        <v>295000</v>
      </c>
    </row>
    <row r="177" spans="1:6" x14ac:dyDescent="0.2">
      <c r="A177" s="8" t="s">
        <v>728</v>
      </c>
      <c r="B177" s="9">
        <v>16505238081</v>
      </c>
      <c r="C177" s="10">
        <f ca="1">TODAY()-3819</f>
        <v>40402</v>
      </c>
      <c r="D177" s="10" t="s">
        <v>2290</v>
      </c>
      <c r="E177" s="12" t="s">
        <v>2290</v>
      </c>
      <c r="F177" s="16">
        <v>285000</v>
      </c>
    </row>
    <row r="178" spans="1:6" x14ac:dyDescent="0.2">
      <c r="A178" s="8" t="s">
        <v>753</v>
      </c>
      <c r="B178" s="9">
        <v>17711024712</v>
      </c>
      <c r="C178" s="10">
        <f ca="1">TODAY()-1464</f>
        <v>42757</v>
      </c>
      <c r="D178" s="10" t="s">
        <v>3398</v>
      </c>
      <c r="E178" s="12" t="s">
        <v>3426</v>
      </c>
      <c r="F178" s="16">
        <v>425000</v>
      </c>
    </row>
    <row r="179" spans="1:6" x14ac:dyDescent="0.2">
      <c r="A179" s="8" t="s">
        <v>587</v>
      </c>
      <c r="B179" s="9">
        <v>28109164796</v>
      </c>
      <c r="C179" s="10">
        <f ca="1">TODAY()-3137</f>
        <v>41084</v>
      </c>
      <c r="D179" s="10" t="s">
        <v>2303</v>
      </c>
      <c r="E179" s="12" t="s">
        <v>3420</v>
      </c>
      <c r="F179" s="16">
        <v>230000</v>
      </c>
    </row>
    <row r="180" spans="1:6" x14ac:dyDescent="0.2">
      <c r="A180" s="8" t="s">
        <v>1410</v>
      </c>
      <c r="B180" s="9">
        <v>28606025621</v>
      </c>
      <c r="C180" s="10">
        <f ca="1">TODAY()-4541</f>
        <v>39680</v>
      </c>
      <c r="D180" s="10" t="s">
        <v>3391</v>
      </c>
      <c r="E180" s="12" t="s">
        <v>3489</v>
      </c>
      <c r="F180" s="16">
        <v>300000</v>
      </c>
    </row>
    <row r="181" spans="1:6" x14ac:dyDescent="0.2">
      <c r="A181" s="8" t="s">
        <v>1166</v>
      </c>
      <c r="B181" s="9">
        <v>28308199630</v>
      </c>
      <c r="C181" s="10">
        <f ca="1">TODAY()-3309</f>
        <v>40912</v>
      </c>
      <c r="D181" s="10" t="s">
        <v>2288</v>
      </c>
      <c r="E181" s="12" t="s">
        <v>3544</v>
      </c>
      <c r="F181" s="16">
        <v>475000</v>
      </c>
    </row>
    <row r="182" spans="1:6" x14ac:dyDescent="0.2">
      <c r="A182" s="8" t="s">
        <v>1922</v>
      </c>
      <c r="B182" s="9">
        <v>27910124549</v>
      </c>
      <c r="C182" s="10">
        <f ca="1">TODAY()-4356</f>
        <v>39865</v>
      </c>
      <c r="D182" s="10" t="s">
        <v>2297</v>
      </c>
      <c r="E182" s="12" t="s">
        <v>2297</v>
      </c>
      <c r="F182" s="16">
        <v>420000</v>
      </c>
    </row>
    <row r="183" spans="1:6" x14ac:dyDescent="0.2">
      <c r="A183" s="8" t="s">
        <v>1115</v>
      </c>
      <c r="B183" s="9">
        <v>17504273199</v>
      </c>
      <c r="C183" s="10">
        <f ca="1">TODAY()-2990</f>
        <v>41231</v>
      </c>
      <c r="D183" s="10" t="s">
        <v>2299</v>
      </c>
      <c r="E183" s="12" t="s">
        <v>3545</v>
      </c>
      <c r="F183" s="16">
        <v>475000</v>
      </c>
    </row>
    <row r="184" spans="1:6" x14ac:dyDescent="0.2">
      <c r="A184" s="8" t="s">
        <v>1604</v>
      </c>
      <c r="B184" s="9">
        <v>28101204005</v>
      </c>
      <c r="C184" s="10">
        <f ca="1">TODAY()-696</f>
        <v>43525</v>
      </c>
      <c r="D184" s="10" t="s">
        <v>3395</v>
      </c>
      <c r="E184" s="12" t="s">
        <v>3406</v>
      </c>
      <c r="F184" s="16">
        <v>260000</v>
      </c>
    </row>
    <row r="185" spans="1:6" x14ac:dyDescent="0.2">
      <c r="A185" s="8" t="s">
        <v>1996</v>
      </c>
      <c r="B185" s="9">
        <v>17406234384</v>
      </c>
      <c r="C185" s="10">
        <f ca="1">TODAY()-4432</f>
        <v>39789</v>
      </c>
      <c r="D185" s="10" t="s">
        <v>3388</v>
      </c>
      <c r="E185" s="12" t="s">
        <v>3450</v>
      </c>
      <c r="F185" s="16">
        <v>405000</v>
      </c>
    </row>
    <row r="186" spans="1:6" x14ac:dyDescent="0.2">
      <c r="A186" s="8" t="s">
        <v>541</v>
      </c>
      <c r="B186" s="9">
        <v>17210053592</v>
      </c>
      <c r="C186" s="10">
        <f ca="1">TODAY()-3441</f>
        <v>40780</v>
      </c>
      <c r="D186" s="10" t="s">
        <v>2293</v>
      </c>
      <c r="E186" s="12" t="s">
        <v>3516</v>
      </c>
      <c r="F186" s="16">
        <v>440000</v>
      </c>
    </row>
    <row r="187" spans="1:6" x14ac:dyDescent="0.2">
      <c r="A187" s="8" t="s">
        <v>1692</v>
      </c>
      <c r="B187" s="9">
        <v>18710243019</v>
      </c>
      <c r="C187" s="10">
        <f ca="1">TODAY()-2408</f>
        <v>41813</v>
      </c>
      <c r="D187" s="10" t="s">
        <v>3388</v>
      </c>
      <c r="E187" s="12" t="s">
        <v>3388</v>
      </c>
      <c r="F187" s="16">
        <v>275000</v>
      </c>
    </row>
    <row r="188" spans="1:6" x14ac:dyDescent="0.2">
      <c r="A188" s="8" t="s">
        <v>1661</v>
      </c>
      <c r="B188" s="9">
        <v>18010214107</v>
      </c>
      <c r="C188" s="10">
        <f ca="1">TODAY()-2676</f>
        <v>41545</v>
      </c>
      <c r="D188" s="10" t="s">
        <v>2288</v>
      </c>
      <c r="E188" s="12" t="s">
        <v>2288</v>
      </c>
      <c r="F188" s="16">
        <v>355000</v>
      </c>
    </row>
    <row r="189" spans="1:6" x14ac:dyDescent="0.2">
      <c r="A189" s="8" t="s">
        <v>436</v>
      </c>
      <c r="B189" s="9">
        <v>27711022828</v>
      </c>
      <c r="C189" s="10">
        <f ca="1">TODAY()-860</f>
        <v>43361</v>
      </c>
      <c r="D189" s="10" t="s">
        <v>2289</v>
      </c>
      <c r="E189" s="12" t="s">
        <v>3553</v>
      </c>
      <c r="F189" s="16">
        <v>500000</v>
      </c>
    </row>
    <row r="190" spans="1:6" x14ac:dyDescent="0.2">
      <c r="A190" s="8" t="s">
        <v>803</v>
      </c>
      <c r="B190" s="9">
        <v>16607184514</v>
      </c>
      <c r="C190" s="10">
        <f ca="1">TODAY()-3662</f>
        <v>40559</v>
      </c>
      <c r="D190" s="10" t="s">
        <v>2287</v>
      </c>
      <c r="E190" s="12" t="s">
        <v>3440</v>
      </c>
      <c r="F190" s="16">
        <v>190000</v>
      </c>
    </row>
    <row r="191" spans="1:6" x14ac:dyDescent="0.2">
      <c r="A191" s="8" t="s">
        <v>2070</v>
      </c>
      <c r="B191" s="9">
        <v>17411221984</v>
      </c>
      <c r="C191" s="10">
        <f ca="1">TODAY()-1094</f>
        <v>43127</v>
      </c>
      <c r="D191" s="10" t="s">
        <v>3386</v>
      </c>
      <c r="E191" s="12" t="s">
        <v>3517</v>
      </c>
      <c r="F191" s="16">
        <v>475000</v>
      </c>
    </row>
    <row r="192" spans="1:6" x14ac:dyDescent="0.2">
      <c r="A192" s="8" t="s">
        <v>898</v>
      </c>
      <c r="B192" s="9">
        <v>16408252315</v>
      </c>
      <c r="C192" s="10">
        <f ca="1">TODAY()-1294</f>
        <v>42927</v>
      </c>
      <c r="D192" s="10" t="s">
        <v>2301</v>
      </c>
      <c r="E192" s="12" t="s">
        <v>3458</v>
      </c>
      <c r="F192" s="16">
        <v>400000</v>
      </c>
    </row>
    <row r="193" spans="1:6" x14ac:dyDescent="0.2">
      <c r="A193" s="8" t="s">
        <v>1732</v>
      </c>
      <c r="B193" s="9">
        <v>27611272217</v>
      </c>
      <c r="C193" s="10">
        <f ca="1">TODAY()-1552</f>
        <v>42669</v>
      </c>
      <c r="D193" s="10" t="s">
        <v>3395</v>
      </c>
      <c r="E193" s="12" t="s">
        <v>3489</v>
      </c>
      <c r="F193" s="16">
        <v>450000</v>
      </c>
    </row>
    <row r="194" spans="1:6" x14ac:dyDescent="0.2">
      <c r="A194" s="8" t="s">
        <v>498</v>
      </c>
      <c r="B194" s="9">
        <v>17912189115</v>
      </c>
      <c r="C194" s="10">
        <f ca="1">TODAY()-2506</f>
        <v>41715</v>
      </c>
      <c r="D194" s="10" t="s">
        <v>2302</v>
      </c>
      <c r="E194" s="12" t="s">
        <v>3564</v>
      </c>
      <c r="F194" s="16">
        <v>390000</v>
      </c>
    </row>
    <row r="195" spans="1:6" x14ac:dyDescent="0.2">
      <c r="A195" s="8" t="s">
        <v>1756</v>
      </c>
      <c r="B195" s="9">
        <v>17501117773</v>
      </c>
      <c r="C195" s="10">
        <f ca="1">TODAY()-4237</f>
        <v>39984</v>
      </c>
      <c r="D195" s="10" t="s">
        <v>3388</v>
      </c>
      <c r="E195" s="12" t="s">
        <v>3388</v>
      </c>
      <c r="F195" s="16">
        <v>320000</v>
      </c>
    </row>
    <row r="196" spans="1:6" x14ac:dyDescent="0.2">
      <c r="A196" s="8" t="s">
        <v>565</v>
      </c>
      <c r="B196" s="9">
        <v>17401146233</v>
      </c>
      <c r="C196" s="10">
        <f ca="1">TODAY()-869</f>
        <v>43352</v>
      </c>
      <c r="D196" s="10" t="s">
        <v>2304</v>
      </c>
      <c r="E196" s="12" t="s">
        <v>3471</v>
      </c>
      <c r="F196" s="16">
        <v>365000</v>
      </c>
    </row>
    <row r="197" spans="1:6" x14ac:dyDescent="0.2">
      <c r="A197" s="8" t="s">
        <v>1616</v>
      </c>
      <c r="B197" s="9">
        <v>18506126165</v>
      </c>
      <c r="C197" s="10">
        <f ca="1">TODAY()-4492</f>
        <v>39729</v>
      </c>
      <c r="D197" s="10" t="s">
        <v>2300</v>
      </c>
      <c r="E197" s="12" t="s">
        <v>3523</v>
      </c>
      <c r="F197" s="16">
        <v>350000</v>
      </c>
    </row>
    <row r="198" spans="1:6" x14ac:dyDescent="0.2">
      <c r="A198" s="8" t="s">
        <v>417</v>
      </c>
      <c r="B198" s="9">
        <v>27703043780</v>
      </c>
      <c r="C198" s="10">
        <f ca="1">TODAY()-3578</f>
        <v>40643</v>
      </c>
      <c r="D198" s="10" t="s">
        <v>3378</v>
      </c>
      <c r="E198" s="12" t="s">
        <v>3510</v>
      </c>
      <c r="F198" s="16">
        <v>375000</v>
      </c>
    </row>
    <row r="199" spans="1:6" x14ac:dyDescent="0.2">
      <c r="A199" s="8" t="s">
        <v>493</v>
      </c>
      <c r="B199" s="9">
        <v>28103117481</v>
      </c>
      <c r="C199" s="10">
        <f ca="1">TODAY()-2578</f>
        <v>41643</v>
      </c>
      <c r="D199" s="10" t="s">
        <v>2303</v>
      </c>
      <c r="E199" s="12" t="s">
        <v>3421</v>
      </c>
      <c r="F199" s="16">
        <v>180000</v>
      </c>
    </row>
    <row r="200" spans="1:6" x14ac:dyDescent="0.2">
      <c r="A200" s="8" t="s">
        <v>2280</v>
      </c>
      <c r="B200" s="9">
        <v>17003026752</v>
      </c>
      <c r="C200" s="10">
        <f ca="1">TODAY()-1495</f>
        <v>42726</v>
      </c>
      <c r="D200" s="10" t="s">
        <v>3384</v>
      </c>
      <c r="E200" s="12" t="s">
        <v>3418</v>
      </c>
      <c r="F200" s="16">
        <v>210000</v>
      </c>
    </row>
    <row r="201" spans="1:6" x14ac:dyDescent="0.2">
      <c r="A201" s="8" t="s">
        <v>653</v>
      </c>
      <c r="B201" s="9">
        <v>16108229940</v>
      </c>
      <c r="C201" s="10">
        <f ca="1">TODAY()-1538</f>
        <v>42683</v>
      </c>
      <c r="D201" s="10" t="s">
        <v>3383</v>
      </c>
      <c r="E201" s="12" t="s">
        <v>3383</v>
      </c>
      <c r="F201" s="16">
        <v>360000</v>
      </c>
    </row>
    <row r="202" spans="1:6" x14ac:dyDescent="0.2">
      <c r="A202" s="8" t="s">
        <v>1906</v>
      </c>
      <c r="B202" s="9">
        <v>17709221356</v>
      </c>
      <c r="C202" s="10">
        <f ca="1">TODAY()-2875</f>
        <v>41346</v>
      </c>
      <c r="D202" s="10" t="s">
        <v>3397</v>
      </c>
      <c r="E202" s="12" t="s">
        <v>3551</v>
      </c>
      <c r="F202" s="16">
        <v>175000</v>
      </c>
    </row>
    <row r="203" spans="1:6" x14ac:dyDescent="0.2">
      <c r="A203" s="8" t="s">
        <v>1468</v>
      </c>
      <c r="B203" s="9">
        <v>27307037346</v>
      </c>
      <c r="C203" s="10">
        <f ca="1">TODAY()-3514</f>
        <v>40707</v>
      </c>
      <c r="D203" s="10" t="s">
        <v>3388</v>
      </c>
      <c r="E203" s="12" t="s">
        <v>3434</v>
      </c>
      <c r="F203" s="16">
        <v>205000</v>
      </c>
    </row>
    <row r="204" spans="1:6" x14ac:dyDescent="0.2">
      <c r="A204" s="8" t="s">
        <v>1624</v>
      </c>
      <c r="B204" s="9">
        <v>18609154700</v>
      </c>
      <c r="C204" s="10">
        <f ca="1">TODAY()-222</f>
        <v>43999</v>
      </c>
      <c r="D204" s="10" t="s">
        <v>3401</v>
      </c>
      <c r="E204" s="12" t="s">
        <v>3401</v>
      </c>
      <c r="F204" s="16">
        <v>275000</v>
      </c>
    </row>
    <row r="205" spans="1:6" x14ac:dyDescent="0.2">
      <c r="A205" s="8" t="s">
        <v>1683</v>
      </c>
      <c r="B205" s="9">
        <v>28801158961</v>
      </c>
      <c r="C205" s="10">
        <f ca="1">TODAY()-2045</f>
        <v>42176</v>
      </c>
      <c r="D205" s="10" t="s">
        <v>3402</v>
      </c>
      <c r="E205" s="12" t="s">
        <v>3504</v>
      </c>
      <c r="F205" s="16">
        <v>470000</v>
      </c>
    </row>
    <row r="206" spans="1:6" x14ac:dyDescent="0.2">
      <c r="A206" s="8" t="s">
        <v>1075</v>
      </c>
      <c r="B206" s="9">
        <v>17202083708</v>
      </c>
      <c r="C206" s="10">
        <f ca="1">TODAY()-4184</f>
        <v>40037</v>
      </c>
      <c r="D206" s="10" t="s">
        <v>2289</v>
      </c>
      <c r="E206" s="12" t="s">
        <v>3420</v>
      </c>
      <c r="F206" s="16">
        <v>255000</v>
      </c>
    </row>
    <row r="207" spans="1:6" x14ac:dyDescent="0.2">
      <c r="A207" s="8" t="s">
        <v>1165</v>
      </c>
      <c r="B207" s="9">
        <v>28004189900</v>
      </c>
      <c r="C207" s="10">
        <f ca="1">TODAY()-4052</f>
        <v>40169</v>
      </c>
      <c r="D207" s="10" t="s">
        <v>2297</v>
      </c>
      <c r="E207" s="12" t="s">
        <v>3416</v>
      </c>
      <c r="F207" s="16">
        <v>215000</v>
      </c>
    </row>
    <row r="208" spans="1:6" x14ac:dyDescent="0.2">
      <c r="A208" s="8" t="s">
        <v>949</v>
      </c>
      <c r="B208" s="9">
        <v>18903258364</v>
      </c>
      <c r="C208" s="10">
        <f ca="1">TODAY()-4399</f>
        <v>39822</v>
      </c>
      <c r="D208" s="10" t="s">
        <v>3401</v>
      </c>
      <c r="E208" s="12" t="s">
        <v>3564</v>
      </c>
      <c r="F208" s="16">
        <v>440000</v>
      </c>
    </row>
    <row r="209" spans="1:6" x14ac:dyDescent="0.2">
      <c r="A209" s="8" t="s">
        <v>924</v>
      </c>
      <c r="B209" s="9">
        <v>28203173566</v>
      </c>
      <c r="C209" s="10">
        <f ca="1">TODAY()-1425</f>
        <v>42796</v>
      </c>
      <c r="D209" s="10" t="s">
        <v>2290</v>
      </c>
      <c r="E209" s="12" t="s">
        <v>3551</v>
      </c>
      <c r="F209" s="16">
        <v>335000</v>
      </c>
    </row>
    <row r="210" spans="1:6" x14ac:dyDescent="0.2">
      <c r="A210" s="8" t="s">
        <v>1465</v>
      </c>
      <c r="B210" s="9">
        <v>18310048198</v>
      </c>
      <c r="C210" s="10">
        <f ca="1">TODAY()-3219</f>
        <v>41002</v>
      </c>
      <c r="D210" s="10" t="s">
        <v>2304</v>
      </c>
      <c r="E210" s="12" t="s">
        <v>3427</v>
      </c>
      <c r="F210" s="16">
        <v>370000</v>
      </c>
    </row>
    <row r="211" spans="1:6" x14ac:dyDescent="0.2">
      <c r="A211" s="8" t="s">
        <v>1402</v>
      </c>
      <c r="B211" s="9">
        <v>17003154566</v>
      </c>
      <c r="C211" s="10">
        <f ca="1">TODAY()-1840</f>
        <v>42381</v>
      </c>
      <c r="D211" s="10" t="s">
        <v>3392</v>
      </c>
      <c r="E211" s="12" t="s">
        <v>3415</v>
      </c>
      <c r="F211" s="16">
        <v>385000</v>
      </c>
    </row>
    <row r="212" spans="1:6" x14ac:dyDescent="0.2">
      <c r="A212" s="8" t="s">
        <v>932</v>
      </c>
      <c r="B212" s="9">
        <v>28005149105</v>
      </c>
      <c r="C212" s="10">
        <f ca="1">TODAY()-1705</f>
        <v>42516</v>
      </c>
      <c r="D212" s="10" t="s">
        <v>2286</v>
      </c>
      <c r="E212" s="12" t="s">
        <v>3440</v>
      </c>
      <c r="F212" s="16">
        <v>300000</v>
      </c>
    </row>
    <row r="213" spans="1:6" x14ac:dyDescent="0.2">
      <c r="A213" s="8" t="s">
        <v>2215</v>
      </c>
      <c r="B213" s="9">
        <v>17301174815</v>
      </c>
      <c r="C213" s="10">
        <f ca="1">TODAY()-1984</f>
        <v>42237</v>
      </c>
      <c r="D213" s="10" t="s">
        <v>3384</v>
      </c>
      <c r="E213" s="12" t="s">
        <v>3500</v>
      </c>
      <c r="F213" s="16">
        <v>410000</v>
      </c>
    </row>
    <row r="214" spans="1:6" x14ac:dyDescent="0.2">
      <c r="A214" s="8" t="s">
        <v>823</v>
      </c>
      <c r="B214" s="9">
        <v>17505235821</v>
      </c>
      <c r="C214" s="10">
        <f ca="1">TODAY()-4390</f>
        <v>39831</v>
      </c>
      <c r="D214" s="10" t="s">
        <v>3402</v>
      </c>
      <c r="E214" s="12" t="s">
        <v>3528</v>
      </c>
      <c r="F214" s="16">
        <v>230000</v>
      </c>
    </row>
    <row r="215" spans="1:6" x14ac:dyDescent="0.2">
      <c r="A215" s="8" t="s">
        <v>1182</v>
      </c>
      <c r="B215" s="9">
        <v>27906067592</v>
      </c>
      <c r="C215" s="10">
        <f ca="1">TODAY()-307</f>
        <v>43914</v>
      </c>
      <c r="D215" s="10" t="s">
        <v>3383</v>
      </c>
      <c r="E215" s="12" t="s">
        <v>3419</v>
      </c>
      <c r="F215" s="16">
        <v>470000</v>
      </c>
    </row>
    <row r="216" spans="1:6" x14ac:dyDescent="0.2">
      <c r="A216" s="8" t="s">
        <v>1043</v>
      </c>
      <c r="B216" s="9">
        <v>27301172104</v>
      </c>
      <c r="C216" s="10">
        <f ca="1">TODAY()-1827</f>
        <v>42394</v>
      </c>
      <c r="D216" s="10" t="s">
        <v>2304</v>
      </c>
      <c r="E216" s="12" t="s">
        <v>3450</v>
      </c>
      <c r="F216" s="16">
        <v>475000</v>
      </c>
    </row>
    <row r="217" spans="1:6" x14ac:dyDescent="0.2">
      <c r="A217" s="8" t="s">
        <v>993</v>
      </c>
      <c r="B217" s="9">
        <v>18701121287</v>
      </c>
      <c r="C217" s="10">
        <f ca="1">TODAY()-4574</f>
        <v>39647</v>
      </c>
      <c r="D217" s="10" t="s">
        <v>2301</v>
      </c>
      <c r="E217" s="12" t="s">
        <v>2301</v>
      </c>
      <c r="F217" s="16">
        <v>500000</v>
      </c>
    </row>
    <row r="218" spans="1:6" x14ac:dyDescent="0.2">
      <c r="A218" s="8" t="s">
        <v>1780</v>
      </c>
      <c r="B218" s="9">
        <v>17406035409</v>
      </c>
      <c r="C218" s="10">
        <f ca="1">TODAY()-1510</f>
        <v>42711</v>
      </c>
      <c r="D218" s="10" t="s">
        <v>2291</v>
      </c>
      <c r="E218" s="12" t="s">
        <v>3492</v>
      </c>
      <c r="F218" s="16">
        <v>465000</v>
      </c>
    </row>
    <row r="219" spans="1:6" x14ac:dyDescent="0.2">
      <c r="A219" s="8" t="s">
        <v>760</v>
      </c>
      <c r="B219" s="9">
        <v>26712161281</v>
      </c>
      <c r="C219" s="10">
        <f ca="1">TODAY()-2228</f>
        <v>41993</v>
      </c>
      <c r="D219" s="10" t="s">
        <v>2292</v>
      </c>
      <c r="E219" s="12" t="s">
        <v>3440</v>
      </c>
      <c r="F219" s="16">
        <v>185000</v>
      </c>
    </row>
    <row r="220" spans="1:6" x14ac:dyDescent="0.2">
      <c r="A220" s="8" t="s">
        <v>1769</v>
      </c>
      <c r="B220" s="9">
        <v>18409241509</v>
      </c>
      <c r="C220" s="10">
        <f ca="1">TODAY()-3930</f>
        <v>40291</v>
      </c>
      <c r="D220" s="10" t="s">
        <v>2291</v>
      </c>
      <c r="E220" s="12" t="s">
        <v>3528</v>
      </c>
      <c r="F220" s="16">
        <v>490000</v>
      </c>
    </row>
    <row r="221" spans="1:6" x14ac:dyDescent="0.2">
      <c r="A221" s="8" t="s">
        <v>1290</v>
      </c>
      <c r="B221" s="9">
        <v>28605284702</v>
      </c>
      <c r="C221" s="10">
        <f ca="1">TODAY()-607</f>
        <v>43614</v>
      </c>
      <c r="D221" s="10" t="s">
        <v>3400</v>
      </c>
      <c r="E221" s="12" t="s">
        <v>3462</v>
      </c>
      <c r="F221" s="16">
        <v>335000</v>
      </c>
    </row>
    <row r="222" spans="1:6" x14ac:dyDescent="0.2">
      <c r="A222" s="8" t="s">
        <v>802</v>
      </c>
      <c r="B222" s="9">
        <v>28104253289</v>
      </c>
      <c r="C222" s="10">
        <f ca="1">TODAY()-3945</f>
        <v>40276</v>
      </c>
      <c r="D222" s="10" t="s">
        <v>3384</v>
      </c>
      <c r="E222" s="12" t="s">
        <v>3482</v>
      </c>
      <c r="F222" s="16">
        <v>430000</v>
      </c>
    </row>
    <row r="223" spans="1:6" x14ac:dyDescent="0.2">
      <c r="A223" s="8" t="s">
        <v>1281</v>
      </c>
      <c r="B223" s="9">
        <v>16211145573</v>
      </c>
      <c r="C223" s="10">
        <f ca="1">TODAY()-341</f>
        <v>43880</v>
      </c>
      <c r="D223" s="10" t="s">
        <v>2287</v>
      </c>
      <c r="E223" s="12" t="s">
        <v>3506</v>
      </c>
      <c r="F223" s="16">
        <v>390000</v>
      </c>
    </row>
    <row r="224" spans="1:6" x14ac:dyDescent="0.2">
      <c r="A224" s="8" t="s">
        <v>1854</v>
      </c>
      <c r="B224" s="9">
        <v>28305065415</v>
      </c>
      <c r="C224" s="10">
        <f ca="1">TODAY()-3844</f>
        <v>40377</v>
      </c>
      <c r="D224" s="10" t="s">
        <v>3393</v>
      </c>
      <c r="E224" s="12" t="s">
        <v>3403</v>
      </c>
      <c r="F224" s="16">
        <v>415000</v>
      </c>
    </row>
    <row r="225" spans="1:6" x14ac:dyDescent="0.2">
      <c r="A225" s="8" t="s">
        <v>743</v>
      </c>
      <c r="B225" s="9">
        <v>16006239228</v>
      </c>
      <c r="C225" s="10">
        <f ca="1">TODAY()-713</f>
        <v>43508</v>
      </c>
      <c r="D225" s="10" t="s">
        <v>2300</v>
      </c>
      <c r="E225" s="12" t="s">
        <v>3496</v>
      </c>
      <c r="F225" s="16">
        <v>450000</v>
      </c>
    </row>
    <row r="226" spans="1:6" x14ac:dyDescent="0.2">
      <c r="A226" s="8" t="s">
        <v>804</v>
      </c>
      <c r="B226" s="9">
        <v>26203246215</v>
      </c>
      <c r="C226" s="10">
        <f ca="1">TODAY()-1154</f>
        <v>43067</v>
      </c>
      <c r="D226" s="10" t="s">
        <v>3381</v>
      </c>
      <c r="E226" s="12" t="s">
        <v>3444</v>
      </c>
      <c r="F226" s="16">
        <v>250000</v>
      </c>
    </row>
    <row r="227" spans="1:6" x14ac:dyDescent="0.2">
      <c r="A227" s="8" t="s">
        <v>1637</v>
      </c>
      <c r="B227" s="9">
        <v>28510277463</v>
      </c>
      <c r="C227" s="10">
        <f ca="1">TODAY()-2950</f>
        <v>41271</v>
      </c>
      <c r="D227" s="10" t="s">
        <v>3387</v>
      </c>
      <c r="E227" s="12" t="s">
        <v>3542</v>
      </c>
      <c r="F227" s="16">
        <v>395000</v>
      </c>
    </row>
    <row r="228" spans="1:6" x14ac:dyDescent="0.2">
      <c r="A228" s="8" t="s">
        <v>876</v>
      </c>
      <c r="B228" s="9">
        <v>16301015833</v>
      </c>
      <c r="C228" s="10">
        <f ca="1">TODAY()-3600</f>
        <v>40621</v>
      </c>
      <c r="D228" s="10" t="s">
        <v>3379</v>
      </c>
      <c r="E228" s="12" t="s">
        <v>3432</v>
      </c>
      <c r="F228" s="16">
        <v>385000</v>
      </c>
    </row>
    <row r="229" spans="1:6" x14ac:dyDescent="0.2">
      <c r="A229" s="8" t="s">
        <v>1199</v>
      </c>
      <c r="B229" s="9">
        <v>18712267861</v>
      </c>
      <c r="C229" s="10">
        <f ca="1">TODAY()-4372</f>
        <v>39849</v>
      </c>
      <c r="D229" s="10" t="s">
        <v>3386</v>
      </c>
      <c r="E229" s="12" t="s">
        <v>3413</v>
      </c>
      <c r="F229" s="16">
        <v>205000</v>
      </c>
    </row>
    <row r="230" spans="1:6" x14ac:dyDescent="0.2">
      <c r="A230" s="8" t="s">
        <v>2181</v>
      </c>
      <c r="B230" s="9">
        <v>26304041143</v>
      </c>
      <c r="C230" s="10">
        <f ca="1">TODAY()-4362</f>
        <v>39859</v>
      </c>
      <c r="D230" s="10" t="s">
        <v>3378</v>
      </c>
      <c r="E230" s="12" t="s">
        <v>3551</v>
      </c>
      <c r="F230" s="16">
        <v>345000</v>
      </c>
    </row>
    <row r="231" spans="1:6" x14ac:dyDescent="0.2">
      <c r="A231" s="8" t="s">
        <v>1878</v>
      </c>
      <c r="B231" s="9">
        <v>18910161973</v>
      </c>
      <c r="C231" s="10">
        <f ca="1">TODAY()-4282</f>
        <v>39939</v>
      </c>
      <c r="D231" s="10" t="s">
        <v>3378</v>
      </c>
      <c r="E231" s="12" t="s">
        <v>3469</v>
      </c>
      <c r="F231" s="16">
        <v>205000</v>
      </c>
    </row>
    <row r="232" spans="1:6" x14ac:dyDescent="0.2">
      <c r="A232" s="8" t="s">
        <v>564</v>
      </c>
      <c r="B232" s="9">
        <v>18108117988</v>
      </c>
      <c r="C232" s="10">
        <f ca="1">TODAY()-1552</f>
        <v>42669</v>
      </c>
      <c r="D232" s="10" t="s">
        <v>3385</v>
      </c>
      <c r="E232" s="12" t="s">
        <v>3472</v>
      </c>
      <c r="F232" s="16">
        <v>465000</v>
      </c>
    </row>
    <row r="233" spans="1:6" x14ac:dyDescent="0.2">
      <c r="A233" s="8" t="s">
        <v>719</v>
      </c>
      <c r="B233" s="9">
        <v>26212059683</v>
      </c>
      <c r="C233" s="10">
        <f ca="1">TODAY()-1735</f>
        <v>42486</v>
      </c>
      <c r="D233" s="10" t="s">
        <v>2293</v>
      </c>
      <c r="E233" s="12" t="s">
        <v>2293</v>
      </c>
      <c r="F233" s="16">
        <v>375000</v>
      </c>
    </row>
    <row r="234" spans="1:6" x14ac:dyDescent="0.2">
      <c r="A234" s="8" t="s">
        <v>939</v>
      </c>
      <c r="B234" s="9">
        <v>28703177860</v>
      </c>
      <c r="C234" s="10">
        <f ca="1">TODAY()-4026</f>
        <v>40195</v>
      </c>
      <c r="D234" s="10" t="s">
        <v>3401</v>
      </c>
      <c r="E234" s="12" t="s">
        <v>3462</v>
      </c>
      <c r="F234" s="16">
        <v>220000</v>
      </c>
    </row>
    <row r="235" spans="1:6" x14ac:dyDescent="0.2">
      <c r="A235" s="8" t="s">
        <v>2019</v>
      </c>
      <c r="B235" s="9">
        <v>19011021460</v>
      </c>
      <c r="C235" s="10">
        <f ca="1">TODAY()-1308</f>
        <v>42913</v>
      </c>
      <c r="D235" s="10" t="s">
        <v>2297</v>
      </c>
      <c r="E235" s="12" t="s">
        <v>2297</v>
      </c>
      <c r="F235" s="16">
        <v>420000</v>
      </c>
    </row>
    <row r="236" spans="1:6" x14ac:dyDescent="0.2">
      <c r="A236" s="8" t="s">
        <v>1253</v>
      </c>
      <c r="B236" s="9">
        <v>18108252339</v>
      </c>
      <c r="C236" s="10">
        <f ca="1">TODAY()-3252</f>
        <v>40969</v>
      </c>
      <c r="D236" s="10" t="s">
        <v>3396</v>
      </c>
      <c r="E236" s="12" t="s">
        <v>3410</v>
      </c>
      <c r="F236" s="16">
        <v>290000</v>
      </c>
    </row>
    <row r="237" spans="1:6" x14ac:dyDescent="0.2">
      <c r="A237" s="8" t="s">
        <v>1026</v>
      </c>
      <c r="B237" s="9">
        <v>28305237277</v>
      </c>
      <c r="C237" s="10">
        <f ca="1">TODAY()-722</f>
        <v>43499</v>
      </c>
      <c r="D237" s="10" t="s">
        <v>2285</v>
      </c>
      <c r="E237" s="12" t="s">
        <v>3441</v>
      </c>
      <c r="F237" s="16">
        <v>295000</v>
      </c>
    </row>
    <row r="238" spans="1:6" x14ac:dyDescent="0.2">
      <c r="A238" s="8" t="s">
        <v>763</v>
      </c>
      <c r="B238" s="9">
        <v>26502282047</v>
      </c>
      <c r="C238" s="10">
        <f ca="1">TODAY()-3331</f>
        <v>40890</v>
      </c>
      <c r="D238" s="10" t="s">
        <v>3390</v>
      </c>
      <c r="E238" s="12" t="s">
        <v>3457</v>
      </c>
      <c r="F238" s="16">
        <v>380000</v>
      </c>
    </row>
    <row r="239" spans="1:6" x14ac:dyDescent="0.2">
      <c r="A239" s="8" t="s">
        <v>574</v>
      </c>
      <c r="B239" s="9">
        <v>16105222184</v>
      </c>
      <c r="C239" s="10">
        <f ca="1">TODAY()-4466</f>
        <v>39755</v>
      </c>
      <c r="D239" s="10" t="s">
        <v>3402</v>
      </c>
      <c r="E239" s="12" t="s">
        <v>3457</v>
      </c>
      <c r="F239" s="16">
        <v>270000</v>
      </c>
    </row>
    <row r="240" spans="1:6" x14ac:dyDescent="0.2">
      <c r="A240" s="8" t="s">
        <v>596</v>
      </c>
      <c r="B240" s="9">
        <v>28002252443</v>
      </c>
      <c r="C240" s="10">
        <f ca="1">TODAY()-43</f>
        <v>44178</v>
      </c>
      <c r="D240" s="10" t="s">
        <v>2303</v>
      </c>
      <c r="E240" s="12" t="s">
        <v>3501</v>
      </c>
      <c r="F240" s="16">
        <v>295000</v>
      </c>
    </row>
    <row r="241" spans="1:6" x14ac:dyDescent="0.2">
      <c r="A241" s="8" t="s">
        <v>510</v>
      </c>
      <c r="B241" s="9">
        <v>28502063974</v>
      </c>
      <c r="C241" s="10">
        <f ca="1">TODAY()-1198</f>
        <v>43023</v>
      </c>
      <c r="D241" s="10" t="s">
        <v>2289</v>
      </c>
      <c r="E241" s="12" t="s">
        <v>3561</v>
      </c>
      <c r="F241" s="16">
        <v>255000</v>
      </c>
    </row>
    <row r="242" spans="1:6" x14ac:dyDescent="0.2">
      <c r="A242" s="8" t="s">
        <v>432</v>
      </c>
      <c r="B242" s="9">
        <v>16510149160</v>
      </c>
      <c r="C242" s="10">
        <f ca="1">TODAY()-2266</f>
        <v>41955</v>
      </c>
      <c r="D242" s="10" t="s">
        <v>2300</v>
      </c>
      <c r="E242" s="12" t="s">
        <v>3564</v>
      </c>
      <c r="F242" s="16">
        <v>235000</v>
      </c>
    </row>
    <row r="243" spans="1:6" x14ac:dyDescent="0.2">
      <c r="A243" s="8" t="s">
        <v>1158</v>
      </c>
      <c r="B243" s="9">
        <v>27205249642</v>
      </c>
      <c r="C243" s="10">
        <f ca="1">TODAY()-153</f>
        <v>44068</v>
      </c>
      <c r="D243" s="10" t="s">
        <v>3398</v>
      </c>
      <c r="E243" s="12" t="s">
        <v>3479</v>
      </c>
      <c r="F243" s="16">
        <v>500000</v>
      </c>
    </row>
    <row r="244" spans="1:6" x14ac:dyDescent="0.2">
      <c r="A244" s="8" t="s">
        <v>1614</v>
      </c>
      <c r="B244" s="9">
        <v>16601231712</v>
      </c>
      <c r="C244" s="10">
        <f ca="1">TODAY()-4747</f>
        <v>39474</v>
      </c>
      <c r="D244" s="10" t="s">
        <v>3383</v>
      </c>
      <c r="E244" s="12" t="s">
        <v>3561</v>
      </c>
      <c r="F244" s="16">
        <v>380000</v>
      </c>
    </row>
    <row r="245" spans="1:6" x14ac:dyDescent="0.2">
      <c r="A245" s="8" t="s">
        <v>894</v>
      </c>
      <c r="B245" s="9">
        <v>16806041440</v>
      </c>
      <c r="C245" s="10">
        <f ca="1">TODAY()-1738</f>
        <v>42483</v>
      </c>
      <c r="D245" s="10" t="s">
        <v>3400</v>
      </c>
      <c r="E245" s="12" t="s">
        <v>3400</v>
      </c>
      <c r="F245" s="16">
        <v>330000</v>
      </c>
    </row>
    <row r="246" spans="1:6" x14ac:dyDescent="0.2">
      <c r="A246" s="8" t="s">
        <v>630</v>
      </c>
      <c r="B246" s="9">
        <v>16104086499</v>
      </c>
      <c r="C246" s="10">
        <f ca="1">TODAY()-4183</f>
        <v>40038</v>
      </c>
      <c r="D246" s="10" t="s">
        <v>2296</v>
      </c>
      <c r="E246" s="12" t="s">
        <v>3427</v>
      </c>
      <c r="F246" s="16">
        <v>365000</v>
      </c>
    </row>
    <row r="247" spans="1:6" x14ac:dyDescent="0.2">
      <c r="A247" s="8" t="s">
        <v>2151</v>
      </c>
      <c r="B247" s="9">
        <v>17811133392</v>
      </c>
      <c r="C247" s="10">
        <f ca="1">TODAY()-3364</f>
        <v>40857</v>
      </c>
      <c r="D247" s="10" t="s">
        <v>3385</v>
      </c>
      <c r="E247" s="12" t="s">
        <v>3551</v>
      </c>
      <c r="F247" s="16">
        <v>310000</v>
      </c>
    </row>
    <row r="248" spans="1:6" x14ac:dyDescent="0.2">
      <c r="A248" s="8" t="s">
        <v>1803</v>
      </c>
      <c r="B248" s="9">
        <v>17509054916</v>
      </c>
      <c r="C248" s="10">
        <f ca="1">TODAY()-1374</f>
        <v>42847</v>
      </c>
      <c r="D248" s="10" t="s">
        <v>2301</v>
      </c>
      <c r="E248" s="12" t="s">
        <v>3490</v>
      </c>
      <c r="F248" s="16">
        <v>475000</v>
      </c>
    </row>
    <row r="249" spans="1:6" x14ac:dyDescent="0.2">
      <c r="A249" s="8" t="s">
        <v>683</v>
      </c>
      <c r="B249" s="9">
        <v>17808237474</v>
      </c>
      <c r="C249" s="10">
        <f ca="1">TODAY()-596</f>
        <v>43625</v>
      </c>
      <c r="D249" s="10" t="s">
        <v>3388</v>
      </c>
      <c r="E249" s="12" t="s">
        <v>3533</v>
      </c>
      <c r="F249" s="16">
        <v>195000</v>
      </c>
    </row>
    <row r="250" spans="1:6" x14ac:dyDescent="0.2">
      <c r="A250" s="8" t="s">
        <v>975</v>
      </c>
      <c r="B250" s="9">
        <v>18602281646</v>
      </c>
      <c r="C250" s="10">
        <f ca="1">TODAY()-728</f>
        <v>43493</v>
      </c>
      <c r="D250" s="10" t="s">
        <v>3391</v>
      </c>
      <c r="E250" s="12" t="s">
        <v>3477</v>
      </c>
      <c r="F250" s="16">
        <v>205000</v>
      </c>
    </row>
    <row r="251" spans="1:6" x14ac:dyDescent="0.2">
      <c r="A251" s="8" t="s">
        <v>1896</v>
      </c>
      <c r="B251" s="9">
        <v>18304185850</v>
      </c>
      <c r="C251" s="10">
        <f ca="1">TODAY()-825</f>
        <v>43396</v>
      </c>
      <c r="D251" s="10" t="s">
        <v>2298</v>
      </c>
      <c r="E251" s="12" t="s">
        <v>3489</v>
      </c>
      <c r="F251" s="16">
        <v>175000</v>
      </c>
    </row>
    <row r="252" spans="1:6" x14ac:dyDescent="0.2">
      <c r="A252" s="8" t="s">
        <v>1599</v>
      </c>
      <c r="B252" s="9">
        <v>16209162387</v>
      </c>
      <c r="C252" s="10">
        <f ca="1">TODAY()-4783</f>
        <v>39438</v>
      </c>
      <c r="D252" s="10" t="s">
        <v>3402</v>
      </c>
      <c r="E252" s="12" t="s">
        <v>3528</v>
      </c>
      <c r="F252" s="16">
        <v>355000</v>
      </c>
    </row>
    <row r="253" spans="1:6" x14ac:dyDescent="0.2">
      <c r="A253" s="8" t="s">
        <v>2044</v>
      </c>
      <c r="B253" s="9">
        <v>27302022948</v>
      </c>
      <c r="C253" s="10">
        <f ca="1">TODAY()-3906</f>
        <v>40315</v>
      </c>
      <c r="D253" s="10" t="s">
        <v>3397</v>
      </c>
      <c r="E253" s="12" t="s">
        <v>3477</v>
      </c>
      <c r="F253" s="16">
        <v>190000</v>
      </c>
    </row>
    <row r="254" spans="1:6" x14ac:dyDescent="0.2">
      <c r="A254" s="8" t="s">
        <v>1437</v>
      </c>
      <c r="B254" s="9">
        <v>17607137481</v>
      </c>
      <c r="C254" s="10">
        <f ca="1">TODAY()-454</f>
        <v>43767</v>
      </c>
      <c r="D254" s="10" t="s">
        <v>3379</v>
      </c>
      <c r="E254" s="12" t="s">
        <v>3469</v>
      </c>
      <c r="F254" s="16">
        <v>385000</v>
      </c>
    </row>
    <row r="255" spans="1:6" x14ac:dyDescent="0.2">
      <c r="A255" s="8" t="s">
        <v>1893</v>
      </c>
      <c r="B255" s="9">
        <v>26712058734</v>
      </c>
      <c r="C255" s="10">
        <f ca="1">TODAY()-1929</f>
        <v>42292</v>
      </c>
      <c r="D255" s="10" t="s">
        <v>2289</v>
      </c>
      <c r="E255" s="12" t="s">
        <v>3507</v>
      </c>
      <c r="F255" s="16">
        <v>500000</v>
      </c>
    </row>
    <row r="256" spans="1:6" x14ac:dyDescent="0.2">
      <c r="A256" s="8" t="s">
        <v>1799</v>
      </c>
      <c r="B256" s="9">
        <v>16706206825</v>
      </c>
      <c r="C256" s="10">
        <f ca="1">TODAY()-4373</f>
        <v>39848</v>
      </c>
      <c r="D256" s="10" t="s">
        <v>3385</v>
      </c>
      <c r="E256" s="12" t="s">
        <v>3385</v>
      </c>
      <c r="F256" s="16">
        <v>185000</v>
      </c>
    </row>
    <row r="257" spans="1:6" x14ac:dyDescent="0.2">
      <c r="A257" s="8" t="s">
        <v>637</v>
      </c>
      <c r="B257" s="9">
        <v>27204058094</v>
      </c>
      <c r="C257" s="10">
        <f ca="1">TODAY()-3568</f>
        <v>40653</v>
      </c>
      <c r="D257" s="10" t="s">
        <v>2296</v>
      </c>
      <c r="E257" s="12" t="s">
        <v>2296</v>
      </c>
      <c r="F257" s="16">
        <v>290000</v>
      </c>
    </row>
    <row r="258" spans="1:6" x14ac:dyDescent="0.2">
      <c r="A258" s="8" t="s">
        <v>2052</v>
      </c>
      <c r="B258" s="9">
        <v>17902246010</v>
      </c>
      <c r="C258" s="10">
        <f ca="1">TODAY()-1304</f>
        <v>42917</v>
      </c>
      <c r="D258" s="10" t="s">
        <v>3381</v>
      </c>
      <c r="E258" s="12" t="s">
        <v>3509</v>
      </c>
      <c r="F258" s="16">
        <v>285000</v>
      </c>
    </row>
    <row r="259" spans="1:6" x14ac:dyDescent="0.2">
      <c r="A259" s="8" t="s">
        <v>1321</v>
      </c>
      <c r="B259" s="9">
        <v>18505244043</v>
      </c>
      <c r="C259" s="10">
        <f ca="1">TODAY()-2103</f>
        <v>42118</v>
      </c>
      <c r="D259" s="10" t="s">
        <v>3384</v>
      </c>
      <c r="E259" s="12" t="s">
        <v>3430</v>
      </c>
      <c r="F259" s="16">
        <v>385000</v>
      </c>
    </row>
    <row r="260" spans="1:6" x14ac:dyDescent="0.2">
      <c r="A260" s="8" t="s">
        <v>2154</v>
      </c>
      <c r="B260" s="9">
        <v>27401099462</v>
      </c>
      <c r="C260" s="10">
        <f ca="1">TODAY()-3132</f>
        <v>41089</v>
      </c>
      <c r="D260" s="10" t="s">
        <v>2286</v>
      </c>
      <c r="E260" s="12" t="s">
        <v>3408</v>
      </c>
      <c r="F260" s="16">
        <v>280000</v>
      </c>
    </row>
    <row r="261" spans="1:6" x14ac:dyDescent="0.2">
      <c r="A261" s="8" t="s">
        <v>1338</v>
      </c>
      <c r="B261" s="9">
        <v>16302036258</v>
      </c>
      <c r="C261" s="10">
        <f ca="1">TODAY()-3227</f>
        <v>40994</v>
      </c>
      <c r="D261" s="10" t="s">
        <v>2302</v>
      </c>
      <c r="E261" s="12" t="s">
        <v>3510</v>
      </c>
      <c r="F261" s="16">
        <v>485000</v>
      </c>
    </row>
    <row r="262" spans="1:6" x14ac:dyDescent="0.2">
      <c r="A262" s="8" t="s">
        <v>1551</v>
      </c>
      <c r="B262" s="9">
        <v>28605284646</v>
      </c>
      <c r="C262" s="10">
        <f ca="1">TODAY()-2159</f>
        <v>42062</v>
      </c>
      <c r="D262" s="10" t="s">
        <v>3395</v>
      </c>
      <c r="E262" s="12" t="s">
        <v>3459</v>
      </c>
      <c r="F262" s="16">
        <v>230000</v>
      </c>
    </row>
    <row r="263" spans="1:6" x14ac:dyDescent="0.2">
      <c r="A263" s="8" t="s">
        <v>912</v>
      </c>
      <c r="B263" s="9">
        <v>16211028034</v>
      </c>
      <c r="C263" s="10">
        <f ca="1">TODAY()-4023</f>
        <v>40198</v>
      </c>
      <c r="D263" s="10" t="s">
        <v>3396</v>
      </c>
      <c r="E263" s="12" t="s">
        <v>3418</v>
      </c>
      <c r="F263" s="16">
        <v>260000</v>
      </c>
    </row>
    <row r="264" spans="1:6" x14ac:dyDescent="0.2">
      <c r="A264" s="8" t="s">
        <v>2178</v>
      </c>
      <c r="B264" s="9">
        <v>27404144284</v>
      </c>
      <c r="C264" s="10">
        <f ca="1">TODAY()-3499</f>
        <v>40722</v>
      </c>
      <c r="D264" s="10" t="s">
        <v>2288</v>
      </c>
      <c r="E264" s="12" t="s">
        <v>3451</v>
      </c>
      <c r="F264" s="16">
        <v>330000</v>
      </c>
    </row>
    <row r="265" spans="1:6" x14ac:dyDescent="0.2">
      <c r="A265" s="8" t="s">
        <v>1105</v>
      </c>
      <c r="B265" s="9">
        <v>18102155761</v>
      </c>
      <c r="C265" s="10">
        <f ca="1">TODAY()-620</f>
        <v>43601</v>
      </c>
      <c r="D265" s="10" t="s">
        <v>3391</v>
      </c>
      <c r="E265" s="12" t="s">
        <v>3447</v>
      </c>
      <c r="F265" s="16">
        <v>325000</v>
      </c>
    </row>
    <row r="266" spans="1:6" x14ac:dyDescent="0.2">
      <c r="A266" s="8" t="s">
        <v>688</v>
      </c>
      <c r="B266" s="9">
        <v>27203223262</v>
      </c>
      <c r="C266" s="10">
        <f ca="1">TODAY()-3163</f>
        <v>41058</v>
      </c>
      <c r="D266" s="10" t="s">
        <v>3396</v>
      </c>
      <c r="E266" s="12" t="s">
        <v>3551</v>
      </c>
      <c r="F266" s="16">
        <v>230000</v>
      </c>
    </row>
    <row r="267" spans="1:6" x14ac:dyDescent="0.2">
      <c r="A267" s="8" t="s">
        <v>1340</v>
      </c>
      <c r="B267" s="9">
        <v>26803254897</v>
      </c>
      <c r="C267" s="10">
        <f ca="1">TODAY()-103</f>
        <v>44118</v>
      </c>
      <c r="D267" s="10" t="s">
        <v>3399</v>
      </c>
      <c r="E267" s="12" t="s">
        <v>3433</v>
      </c>
      <c r="F267" s="16">
        <v>465000</v>
      </c>
    </row>
    <row r="268" spans="1:6" x14ac:dyDescent="0.2">
      <c r="A268" s="8" t="s">
        <v>1831</v>
      </c>
      <c r="B268" s="9">
        <v>18905227471</v>
      </c>
      <c r="C268" s="10">
        <f ca="1">TODAY()-951</f>
        <v>43270</v>
      </c>
      <c r="D268" s="10" t="s">
        <v>3399</v>
      </c>
      <c r="E268" s="12" t="s">
        <v>3513</v>
      </c>
      <c r="F268" s="16">
        <v>355000</v>
      </c>
    </row>
    <row r="269" spans="1:6" x14ac:dyDescent="0.2">
      <c r="A269" s="8" t="s">
        <v>1480</v>
      </c>
      <c r="B269" s="9">
        <v>26307062926</v>
      </c>
      <c r="C269" s="10">
        <f ca="1">TODAY()-818</f>
        <v>43403</v>
      </c>
      <c r="D269" s="10" t="s">
        <v>3394</v>
      </c>
      <c r="E269" s="12" t="s">
        <v>3462</v>
      </c>
      <c r="F269" s="16">
        <v>200000</v>
      </c>
    </row>
    <row r="270" spans="1:6" x14ac:dyDescent="0.2">
      <c r="A270" s="8" t="s">
        <v>2128</v>
      </c>
      <c r="B270" s="9">
        <v>16709069887</v>
      </c>
      <c r="C270" s="10">
        <f ca="1">TODAY()-1984</f>
        <v>42237</v>
      </c>
      <c r="D270" s="10" t="s">
        <v>2284</v>
      </c>
      <c r="E270" s="12" t="s">
        <v>2284</v>
      </c>
      <c r="F270" s="16">
        <v>495000</v>
      </c>
    </row>
    <row r="271" spans="1:6" x14ac:dyDescent="0.2">
      <c r="A271" s="8" t="s">
        <v>907</v>
      </c>
      <c r="B271" s="9">
        <v>27208128526</v>
      </c>
      <c r="C271" s="10">
        <f ca="1">TODAY()-1789</f>
        <v>42432</v>
      </c>
      <c r="D271" s="10" t="s">
        <v>3383</v>
      </c>
      <c r="E271" s="12" t="s">
        <v>3464</v>
      </c>
      <c r="F271" s="16">
        <v>465000</v>
      </c>
    </row>
    <row r="272" spans="1:6" x14ac:dyDescent="0.2">
      <c r="A272" s="8" t="s">
        <v>1596</v>
      </c>
      <c r="B272" s="9">
        <v>18208014694</v>
      </c>
      <c r="C272" s="10">
        <f ca="1">TODAY()-4850</f>
        <v>39371</v>
      </c>
      <c r="D272" s="10" t="s">
        <v>2297</v>
      </c>
      <c r="E272" s="12" t="s">
        <v>3425</v>
      </c>
      <c r="F272" s="16">
        <v>495000</v>
      </c>
    </row>
    <row r="273" spans="1:6" x14ac:dyDescent="0.2">
      <c r="A273" s="8" t="s">
        <v>2030</v>
      </c>
      <c r="B273" s="9">
        <v>19009199675</v>
      </c>
      <c r="C273" s="10">
        <f ca="1">TODAY()-1593</f>
        <v>42628</v>
      </c>
      <c r="D273" s="10" t="s">
        <v>2303</v>
      </c>
      <c r="E273" s="12" t="s">
        <v>2303</v>
      </c>
      <c r="F273" s="16">
        <v>405000</v>
      </c>
    </row>
    <row r="274" spans="1:6" x14ac:dyDescent="0.2">
      <c r="A274" s="8" t="s">
        <v>1487</v>
      </c>
      <c r="B274" s="9">
        <v>17708258574</v>
      </c>
      <c r="C274" s="10">
        <f ca="1">TODAY()-2172</f>
        <v>42049</v>
      </c>
      <c r="D274" s="10" t="s">
        <v>2292</v>
      </c>
      <c r="E274" s="12" t="s">
        <v>3491</v>
      </c>
      <c r="F274" s="16">
        <v>250000</v>
      </c>
    </row>
    <row r="275" spans="1:6" x14ac:dyDescent="0.2">
      <c r="A275" s="8" t="s">
        <v>1734</v>
      </c>
      <c r="B275" s="9">
        <v>16705178063</v>
      </c>
      <c r="C275" s="10">
        <f ca="1">TODAY()-361</f>
        <v>43860</v>
      </c>
      <c r="D275" s="10" t="s">
        <v>3401</v>
      </c>
      <c r="E275" s="12" t="s">
        <v>3410</v>
      </c>
      <c r="F275" s="16">
        <v>355000</v>
      </c>
    </row>
    <row r="276" spans="1:6" x14ac:dyDescent="0.2">
      <c r="A276" s="8" t="s">
        <v>1545</v>
      </c>
      <c r="B276" s="9">
        <v>17405234895</v>
      </c>
      <c r="C276" s="10">
        <f ca="1">TODAY()-160</f>
        <v>44061</v>
      </c>
      <c r="D276" s="10" t="s">
        <v>3386</v>
      </c>
      <c r="E276" s="12" t="s">
        <v>3489</v>
      </c>
      <c r="F276" s="16">
        <v>210000</v>
      </c>
    </row>
    <row r="277" spans="1:6" x14ac:dyDescent="0.2">
      <c r="A277" s="8" t="s">
        <v>551</v>
      </c>
      <c r="B277" s="9">
        <v>27903269890</v>
      </c>
      <c r="C277" s="10">
        <f ca="1">TODAY()-2348</f>
        <v>41873</v>
      </c>
      <c r="D277" s="10" t="s">
        <v>3381</v>
      </c>
      <c r="E277" s="12" t="s">
        <v>3555</v>
      </c>
      <c r="F277" s="16">
        <v>355000</v>
      </c>
    </row>
    <row r="278" spans="1:6" x14ac:dyDescent="0.2">
      <c r="A278" s="8" t="s">
        <v>1903</v>
      </c>
      <c r="B278" s="9">
        <v>17701218689</v>
      </c>
      <c r="C278" s="10">
        <f ca="1">TODAY()-3233</f>
        <v>40988</v>
      </c>
      <c r="D278" s="10" t="s">
        <v>3401</v>
      </c>
      <c r="E278" s="12" t="s">
        <v>3516</v>
      </c>
      <c r="F278" s="16">
        <v>270000</v>
      </c>
    </row>
    <row r="279" spans="1:6" x14ac:dyDescent="0.2">
      <c r="A279" s="8" t="s">
        <v>1544</v>
      </c>
      <c r="B279" s="9">
        <v>17710224086</v>
      </c>
      <c r="C279" s="10">
        <f ca="1">TODAY()-4040</f>
        <v>40181</v>
      </c>
      <c r="D279" s="10" t="s">
        <v>3394</v>
      </c>
      <c r="E279" s="12" t="s">
        <v>3515</v>
      </c>
      <c r="F279" s="16">
        <v>425000</v>
      </c>
    </row>
    <row r="280" spans="1:6" x14ac:dyDescent="0.2">
      <c r="A280" s="8" t="s">
        <v>948</v>
      </c>
      <c r="B280" s="9">
        <v>27210052530</v>
      </c>
      <c r="C280" s="10">
        <f ca="1">TODAY()-405</f>
        <v>43816</v>
      </c>
      <c r="D280" s="10" t="s">
        <v>3394</v>
      </c>
      <c r="E280" s="12" t="s">
        <v>3528</v>
      </c>
      <c r="F280" s="16">
        <v>440000</v>
      </c>
    </row>
    <row r="281" spans="1:6" x14ac:dyDescent="0.2">
      <c r="A281" s="8" t="s">
        <v>2107</v>
      </c>
      <c r="B281" s="9">
        <v>27607025278</v>
      </c>
      <c r="C281" s="10">
        <f ca="1">TODAY()-4376</f>
        <v>39845</v>
      </c>
      <c r="D281" s="10" t="s">
        <v>3393</v>
      </c>
      <c r="E281" s="12" t="s">
        <v>3502</v>
      </c>
      <c r="F281" s="16">
        <v>365000</v>
      </c>
    </row>
    <row r="282" spans="1:6" x14ac:dyDescent="0.2">
      <c r="A282" s="8" t="s">
        <v>968</v>
      </c>
      <c r="B282" s="9">
        <v>28510172499</v>
      </c>
      <c r="C282" s="10">
        <f ca="1">TODAY()-789</f>
        <v>43432</v>
      </c>
      <c r="D282" s="10" t="s">
        <v>3381</v>
      </c>
      <c r="E282" s="12" t="s">
        <v>3451</v>
      </c>
      <c r="F282" s="16">
        <v>395000</v>
      </c>
    </row>
    <row r="283" spans="1:6" x14ac:dyDescent="0.2">
      <c r="A283" s="8" t="s">
        <v>682</v>
      </c>
      <c r="B283" s="9">
        <v>17101088462</v>
      </c>
      <c r="C283" s="10">
        <f ca="1">TODAY()-2042</f>
        <v>42179</v>
      </c>
      <c r="D283" s="10" t="s">
        <v>3396</v>
      </c>
      <c r="E283" s="12" t="s">
        <v>3461</v>
      </c>
      <c r="F283" s="16">
        <v>475000</v>
      </c>
    </row>
    <row r="284" spans="1:6" x14ac:dyDescent="0.2">
      <c r="A284" s="8" t="s">
        <v>1397</v>
      </c>
      <c r="B284" s="9">
        <v>16008235534</v>
      </c>
      <c r="C284" s="10">
        <f ca="1">TODAY()-717</f>
        <v>43504</v>
      </c>
      <c r="D284" s="10" t="s">
        <v>3397</v>
      </c>
      <c r="E284" s="12" t="s">
        <v>3405</v>
      </c>
      <c r="F284" s="16">
        <v>295000</v>
      </c>
    </row>
    <row r="285" spans="1:6" x14ac:dyDescent="0.2">
      <c r="A285" s="8" t="s">
        <v>2258</v>
      </c>
      <c r="B285" s="9">
        <v>26803091199</v>
      </c>
      <c r="C285" s="10">
        <f ca="1">TODAY()-2309</f>
        <v>41912</v>
      </c>
      <c r="D285" s="10" t="s">
        <v>2302</v>
      </c>
      <c r="E285" s="12" t="s">
        <v>3463</v>
      </c>
      <c r="F285" s="16">
        <v>375000</v>
      </c>
    </row>
    <row r="286" spans="1:6" x14ac:dyDescent="0.2">
      <c r="A286" s="8" t="s">
        <v>2212</v>
      </c>
      <c r="B286" s="9">
        <v>18202211681</v>
      </c>
      <c r="C286" s="10">
        <f ca="1">TODAY()-4549</f>
        <v>39672</v>
      </c>
      <c r="D286" s="10" t="s">
        <v>2304</v>
      </c>
      <c r="E286" s="12" t="s">
        <v>3520</v>
      </c>
      <c r="F286" s="16">
        <v>365000</v>
      </c>
    </row>
    <row r="287" spans="1:6" x14ac:dyDescent="0.2">
      <c r="A287" s="8" t="s">
        <v>1695</v>
      </c>
      <c r="B287" s="9">
        <v>28401206152</v>
      </c>
      <c r="C287" s="10">
        <f ca="1">TODAY()-1750</f>
        <v>42471</v>
      </c>
      <c r="D287" s="10" t="s">
        <v>3401</v>
      </c>
      <c r="E287" s="12" t="s">
        <v>3451</v>
      </c>
      <c r="F287" s="16">
        <v>365000</v>
      </c>
    </row>
    <row r="288" spans="1:6" x14ac:dyDescent="0.2">
      <c r="A288" s="8" t="s">
        <v>545</v>
      </c>
      <c r="B288" s="9">
        <v>16502123070</v>
      </c>
      <c r="C288" s="10">
        <f ca="1">TODAY()-3611</f>
        <v>40610</v>
      </c>
      <c r="D288" s="10" t="s">
        <v>3393</v>
      </c>
      <c r="E288" s="12" t="s">
        <v>3487</v>
      </c>
      <c r="F288" s="16">
        <v>300000</v>
      </c>
    </row>
    <row r="289" spans="1:6" x14ac:dyDescent="0.2">
      <c r="A289" s="8" t="s">
        <v>1925</v>
      </c>
      <c r="B289" s="9">
        <v>16109138323</v>
      </c>
      <c r="C289" s="10">
        <f ca="1">TODAY()-1960</f>
        <v>42261</v>
      </c>
      <c r="D289" s="10" t="s">
        <v>3381</v>
      </c>
      <c r="E289" s="12" t="s">
        <v>3381</v>
      </c>
      <c r="F289" s="16">
        <v>380000</v>
      </c>
    </row>
    <row r="290" spans="1:6" x14ac:dyDescent="0.2">
      <c r="A290" s="8" t="s">
        <v>1908</v>
      </c>
      <c r="B290" s="9">
        <v>27304137267</v>
      </c>
      <c r="C290" s="10">
        <f ca="1">TODAY()-4911</f>
        <v>39310</v>
      </c>
      <c r="D290" s="10" t="s">
        <v>3391</v>
      </c>
      <c r="E290" s="12" t="s">
        <v>3391</v>
      </c>
      <c r="F290" s="16">
        <v>380000</v>
      </c>
    </row>
    <row r="291" spans="1:6" x14ac:dyDescent="0.2">
      <c r="A291" s="8" t="s">
        <v>1631</v>
      </c>
      <c r="B291" s="9">
        <v>18007081991</v>
      </c>
      <c r="C291" s="10">
        <f ca="1">TODAY()-2341</f>
        <v>41880</v>
      </c>
      <c r="D291" s="10" t="s">
        <v>3402</v>
      </c>
      <c r="E291" s="12" t="s">
        <v>3452</v>
      </c>
      <c r="F291" s="16">
        <v>445000</v>
      </c>
    </row>
    <row r="292" spans="1:6" x14ac:dyDescent="0.2">
      <c r="A292" s="8" t="s">
        <v>569</v>
      </c>
      <c r="B292" s="9">
        <v>26801275317</v>
      </c>
      <c r="C292" s="10">
        <f ca="1">TODAY()-1104</f>
        <v>43117</v>
      </c>
      <c r="D292" s="10" t="s">
        <v>2293</v>
      </c>
      <c r="E292" s="12" t="s">
        <v>3552</v>
      </c>
      <c r="F292" s="16">
        <v>365000</v>
      </c>
    </row>
    <row r="293" spans="1:6" x14ac:dyDescent="0.2">
      <c r="A293" s="8" t="s">
        <v>555</v>
      </c>
      <c r="B293" s="9">
        <v>18712069693</v>
      </c>
      <c r="C293" s="10">
        <f ca="1">TODAY()-196</f>
        <v>44025</v>
      </c>
      <c r="D293" s="10" t="s">
        <v>3388</v>
      </c>
      <c r="E293" s="12" t="s">
        <v>3448</v>
      </c>
      <c r="F293" s="16">
        <v>225000</v>
      </c>
    </row>
    <row r="294" spans="1:6" x14ac:dyDescent="0.2">
      <c r="A294" s="8" t="s">
        <v>902</v>
      </c>
      <c r="B294" s="9">
        <v>27205011524</v>
      </c>
      <c r="C294" s="10">
        <f ca="1">TODAY()-1547</f>
        <v>42674</v>
      </c>
      <c r="D294" s="10" t="s">
        <v>3392</v>
      </c>
      <c r="E294" s="12" t="s">
        <v>3516</v>
      </c>
      <c r="F294" s="16">
        <v>335000</v>
      </c>
    </row>
    <row r="295" spans="1:6" x14ac:dyDescent="0.2">
      <c r="A295" s="8" t="s">
        <v>1802</v>
      </c>
      <c r="B295" s="9">
        <v>17308253217</v>
      </c>
      <c r="C295" s="10">
        <f ca="1">TODAY()-254</f>
        <v>43967</v>
      </c>
      <c r="D295" s="10" t="s">
        <v>2299</v>
      </c>
      <c r="E295" s="12" t="s">
        <v>3555</v>
      </c>
      <c r="F295" s="16">
        <v>275000</v>
      </c>
    </row>
    <row r="296" spans="1:6" x14ac:dyDescent="0.2">
      <c r="A296" s="8" t="s">
        <v>996</v>
      </c>
      <c r="B296" s="9">
        <v>16811083287</v>
      </c>
      <c r="C296" s="10">
        <f ca="1">TODAY()-4576</f>
        <v>39645</v>
      </c>
      <c r="D296" s="10" t="s">
        <v>2304</v>
      </c>
      <c r="E296" s="12" t="s">
        <v>3542</v>
      </c>
      <c r="F296" s="16">
        <v>240000</v>
      </c>
    </row>
    <row r="297" spans="1:6" x14ac:dyDescent="0.2">
      <c r="A297" s="8" t="s">
        <v>989</v>
      </c>
      <c r="B297" s="9">
        <v>18209202284</v>
      </c>
      <c r="C297" s="10">
        <f ca="1">TODAY()-2201</f>
        <v>42020</v>
      </c>
      <c r="D297" s="10" t="s">
        <v>3381</v>
      </c>
      <c r="E297" s="12" t="s">
        <v>3548</v>
      </c>
      <c r="F297" s="16">
        <v>305000</v>
      </c>
    </row>
    <row r="298" spans="1:6" x14ac:dyDescent="0.2">
      <c r="A298" s="8" t="s">
        <v>1073</v>
      </c>
      <c r="B298" s="9">
        <v>28709137094</v>
      </c>
      <c r="C298" s="10">
        <f ca="1">TODAY()-704</f>
        <v>43517</v>
      </c>
      <c r="D298" s="10" t="s">
        <v>2300</v>
      </c>
      <c r="E298" s="12" t="s">
        <v>3445</v>
      </c>
      <c r="F298" s="16">
        <v>460000</v>
      </c>
    </row>
    <row r="299" spans="1:6" x14ac:dyDescent="0.2">
      <c r="A299" s="8" t="s">
        <v>754</v>
      </c>
      <c r="B299" s="9">
        <v>28807221691</v>
      </c>
      <c r="C299" s="10">
        <f ca="1">TODAY()-435</f>
        <v>43786</v>
      </c>
      <c r="D299" s="10" t="s">
        <v>2290</v>
      </c>
      <c r="E299" s="12" t="s">
        <v>3459</v>
      </c>
      <c r="F299" s="16">
        <v>455000</v>
      </c>
    </row>
    <row r="300" spans="1:6" x14ac:dyDescent="0.2">
      <c r="A300" s="8" t="s">
        <v>1472</v>
      </c>
      <c r="B300" s="9">
        <v>28407079035</v>
      </c>
      <c r="C300" s="10">
        <f ca="1">TODAY()-1421</f>
        <v>42800</v>
      </c>
      <c r="D300" s="10" t="s">
        <v>2304</v>
      </c>
      <c r="E300" s="12" t="s">
        <v>2304</v>
      </c>
      <c r="F300" s="16">
        <v>180000</v>
      </c>
    </row>
    <row r="301" spans="1:6" x14ac:dyDescent="0.2">
      <c r="A301" s="8" t="s">
        <v>1310</v>
      </c>
      <c r="B301" s="9">
        <v>27908148965</v>
      </c>
      <c r="C301" s="10">
        <f ca="1">TODAY()-3044</f>
        <v>41177</v>
      </c>
      <c r="D301" s="10" t="s">
        <v>3398</v>
      </c>
      <c r="E301" s="12" t="s">
        <v>3457</v>
      </c>
      <c r="F301" s="16">
        <v>425000</v>
      </c>
    </row>
    <row r="302" spans="1:6" x14ac:dyDescent="0.2">
      <c r="A302" s="8" t="s">
        <v>696</v>
      </c>
      <c r="B302" s="9">
        <v>27901024013</v>
      </c>
      <c r="C302" s="10">
        <f ca="1">TODAY()-4072</f>
        <v>40149</v>
      </c>
      <c r="D302" s="10" t="s">
        <v>2285</v>
      </c>
      <c r="E302" s="12" t="s">
        <v>3548</v>
      </c>
      <c r="F302" s="16">
        <v>375000</v>
      </c>
    </row>
    <row r="303" spans="1:6" x14ac:dyDescent="0.2">
      <c r="A303" s="8" t="s">
        <v>852</v>
      </c>
      <c r="B303" s="9">
        <v>18509254707</v>
      </c>
      <c r="C303" s="10">
        <f ca="1">TODAY()-1853</f>
        <v>42368</v>
      </c>
      <c r="D303" s="10" t="s">
        <v>3382</v>
      </c>
      <c r="E303" s="12" t="s">
        <v>3555</v>
      </c>
      <c r="F303" s="16">
        <v>350000</v>
      </c>
    </row>
    <row r="304" spans="1:6" x14ac:dyDescent="0.2">
      <c r="A304" s="8" t="s">
        <v>1240</v>
      </c>
      <c r="B304" s="9">
        <v>29012257386</v>
      </c>
      <c r="C304" s="10">
        <f ca="1">TODAY()-2305</f>
        <v>41916</v>
      </c>
      <c r="D304" s="10" t="s">
        <v>2303</v>
      </c>
      <c r="E304" s="12" t="s">
        <v>3470</v>
      </c>
      <c r="F304" s="16">
        <v>450000</v>
      </c>
    </row>
    <row r="305" spans="1:6" x14ac:dyDescent="0.2">
      <c r="A305" s="8" t="s">
        <v>1848</v>
      </c>
      <c r="B305" s="9">
        <v>28112168153</v>
      </c>
      <c r="C305" s="10">
        <f ca="1">TODAY()-2660</f>
        <v>41561</v>
      </c>
      <c r="D305" s="10" t="s">
        <v>2300</v>
      </c>
      <c r="E305" s="12" t="s">
        <v>3489</v>
      </c>
      <c r="F305" s="16">
        <v>355000</v>
      </c>
    </row>
    <row r="306" spans="1:6" x14ac:dyDescent="0.2">
      <c r="A306" s="8" t="s">
        <v>1398</v>
      </c>
      <c r="B306" s="9">
        <v>18312036471</v>
      </c>
      <c r="C306" s="10">
        <f ca="1">TODAY()-766</f>
        <v>43455</v>
      </c>
      <c r="D306" s="10" t="s">
        <v>2298</v>
      </c>
      <c r="E306" s="12" t="s">
        <v>3455</v>
      </c>
      <c r="F306" s="16">
        <v>415000</v>
      </c>
    </row>
    <row r="307" spans="1:6" x14ac:dyDescent="0.2">
      <c r="A307" s="8" t="s">
        <v>692</v>
      </c>
      <c r="B307" s="9">
        <v>28804116961</v>
      </c>
      <c r="C307" s="10">
        <f ca="1">TODAY()-1644</f>
        <v>42577</v>
      </c>
      <c r="D307" s="10" t="s">
        <v>3401</v>
      </c>
      <c r="E307" s="12" t="s">
        <v>3543</v>
      </c>
      <c r="F307" s="16">
        <v>450000</v>
      </c>
    </row>
    <row r="308" spans="1:6" x14ac:dyDescent="0.2">
      <c r="A308" s="8" t="s">
        <v>789</v>
      </c>
      <c r="B308" s="9">
        <v>28404113268</v>
      </c>
      <c r="C308" s="10">
        <f ca="1">TODAY()-1103</f>
        <v>43118</v>
      </c>
      <c r="D308" s="10" t="s">
        <v>2294</v>
      </c>
      <c r="E308" s="12" t="s">
        <v>3425</v>
      </c>
      <c r="F308" s="16">
        <v>495000</v>
      </c>
    </row>
    <row r="309" spans="1:6" x14ac:dyDescent="0.2">
      <c r="A309" s="8" t="s">
        <v>1767</v>
      </c>
      <c r="B309" s="9">
        <v>16003038127</v>
      </c>
      <c r="C309" s="10">
        <f ca="1">TODAY()-656</f>
        <v>43565</v>
      </c>
      <c r="D309" s="10" t="s">
        <v>3395</v>
      </c>
      <c r="E309" s="12" t="s">
        <v>3533</v>
      </c>
      <c r="F309" s="16">
        <v>175000</v>
      </c>
    </row>
    <row r="310" spans="1:6" x14ac:dyDescent="0.2">
      <c r="A310" s="8" t="s">
        <v>2079</v>
      </c>
      <c r="B310" s="9">
        <v>17701198195</v>
      </c>
      <c r="C310" s="10">
        <f ca="1">TODAY()-4957</f>
        <v>39264</v>
      </c>
      <c r="D310" s="10" t="s">
        <v>2286</v>
      </c>
      <c r="E310" s="12" t="s">
        <v>3521</v>
      </c>
      <c r="F310" s="16">
        <v>285000</v>
      </c>
    </row>
    <row r="311" spans="1:6" x14ac:dyDescent="0.2">
      <c r="A311" s="8" t="s">
        <v>1840</v>
      </c>
      <c r="B311" s="9">
        <v>27310233626</v>
      </c>
      <c r="C311" s="10">
        <f ca="1">TODAY()-3125</f>
        <v>41096</v>
      </c>
      <c r="D311" s="10" t="s">
        <v>2293</v>
      </c>
      <c r="E311" s="12" t="s">
        <v>3406</v>
      </c>
      <c r="F311" s="16">
        <v>200000</v>
      </c>
    </row>
    <row r="312" spans="1:6" x14ac:dyDescent="0.2">
      <c r="A312" s="8" t="s">
        <v>1231</v>
      </c>
      <c r="B312" s="9">
        <v>16912244514</v>
      </c>
      <c r="C312" s="10">
        <f ca="1">TODAY()-4177</f>
        <v>40044</v>
      </c>
      <c r="D312" s="10" t="s">
        <v>3386</v>
      </c>
      <c r="E312" s="12" t="s">
        <v>3546</v>
      </c>
      <c r="F312" s="16">
        <v>210000</v>
      </c>
    </row>
    <row r="313" spans="1:6" x14ac:dyDescent="0.2">
      <c r="A313" s="8" t="s">
        <v>1568</v>
      </c>
      <c r="B313" s="9">
        <v>28210127173</v>
      </c>
      <c r="C313" s="10">
        <f ca="1">TODAY()-2516</f>
        <v>41705</v>
      </c>
      <c r="D313" s="10" t="s">
        <v>2296</v>
      </c>
      <c r="E313" s="12" t="s">
        <v>3404</v>
      </c>
      <c r="F313" s="16">
        <v>300000</v>
      </c>
    </row>
    <row r="314" spans="1:6" x14ac:dyDescent="0.2">
      <c r="A314" s="8" t="s">
        <v>1456</v>
      </c>
      <c r="B314" s="9">
        <v>27201258770</v>
      </c>
      <c r="C314" s="10">
        <f ca="1">TODAY()-2997</f>
        <v>41224</v>
      </c>
      <c r="D314" s="10" t="s">
        <v>2288</v>
      </c>
      <c r="E314" s="12" t="s">
        <v>3429</v>
      </c>
      <c r="F314" s="16">
        <v>275000</v>
      </c>
    </row>
    <row r="315" spans="1:6" x14ac:dyDescent="0.2">
      <c r="A315" s="8" t="s">
        <v>1762</v>
      </c>
      <c r="B315" s="9">
        <v>16306194352</v>
      </c>
      <c r="C315" s="10">
        <f ca="1">TODAY()-293</f>
        <v>43928</v>
      </c>
      <c r="D315" s="10" t="s">
        <v>2304</v>
      </c>
      <c r="E315" s="12" t="s">
        <v>3420</v>
      </c>
      <c r="F315" s="16">
        <v>380000</v>
      </c>
    </row>
    <row r="316" spans="1:6" x14ac:dyDescent="0.2">
      <c r="A316" s="8" t="s">
        <v>2194</v>
      </c>
      <c r="B316" s="9">
        <v>29001199694</v>
      </c>
      <c r="C316" s="10">
        <f ca="1">TODAY()-2427</f>
        <v>41794</v>
      </c>
      <c r="D316" s="10" t="s">
        <v>3390</v>
      </c>
      <c r="E316" s="12" t="s">
        <v>3390</v>
      </c>
      <c r="F316" s="16">
        <v>340000</v>
      </c>
    </row>
    <row r="317" spans="1:6" x14ac:dyDescent="0.2">
      <c r="A317" s="8" t="s">
        <v>1833</v>
      </c>
      <c r="B317" s="9">
        <v>27606239431</v>
      </c>
      <c r="C317" s="10">
        <f ca="1">TODAY()-4357</f>
        <v>39864</v>
      </c>
      <c r="D317" s="10" t="s">
        <v>3380</v>
      </c>
      <c r="E317" s="12" t="s">
        <v>3553</v>
      </c>
      <c r="F317" s="16">
        <v>365000</v>
      </c>
    </row>
    <row r="318" spans="1:6" x14ac:dyDescent="0.2">
      <c r="A318" s="8" t="s">
        <v>2176</v>
      </c>
      <c r="B318" s="9">
        <v>18509141405</v>
      </c>
      <c r="C318" s="10">
        <f ca="1">TODAY()-1761</f>
        <v>42460</v>
      </c>
      <c r="D318" s="10" t="s">
        <v>2289</v>
      </c>
      <c r="E318" s="12" t="s">
        <v>3415</v>
      </c>
      <c r="F318" s="16">
        <v>450000</v>
      </c>
    </row>
    <row r="319" spans="1:6" x14ac:dyDescent="0.2">
      <c r="A319" s="8" t="s">
        <v>901</v>
      </c>
      <c r="B319" s="9">
        <v>27209043662</v>
      </c>
      <c r="C319" s="10">
        <f ca="1">TODAY()-1590</f>
        <v>42631</v>
      </c>
      <c r="D319" s="10" t="s">
        <v>3382</v>
      </c>
      <c r="E319" s="12" t="s">
        <v>3499</v>
      </c>
      <c r="F319" s="16">
        <v>190000</v>
      </c>
    </row>
    <row r="320" spans="1:6" x14ac:dyDescent="0.2">
      <c r="A320" s="8" t="s">
        <v>610</v>
      </c>
      <c r="B320" s="9">
        <v>16404199171</v>
      </c>
      <c r="C320" s="10">
        <f ca="1">TODAY()-3442</f>
        <v>40779</v>
      </c>
      <c r="D320" s="10" t="s">
        <v>3383</v>
      </c>
      <c r="E320" s="12" t="s">
        <v>3466</v>
      </c>
      <c r="F320" s="16">
        <v>215000</v>
      </c>
    </row>
    <row r="321" spans="1:6" x14ac:dyDescent="0.2">
      <c r="A321" s="8" t="s">
        <v>970</v>
      </c>
      <c r="B321" s="9">
        <v>19007012011</v>
      </c>
      <c r="C321" s="10">
        <f ca="1">TODAY()-791</f>
        <v>43430</v>
      </c>
      <c r="D321" s="10" t="s">
        <v>3398</v>
      </c>
      <c r="E321" s="12" t="s">
        <v>3444</v>
      </c>
      <c r="F321" s="16">
        <v>345000</v>
      </c>
    </row>
    <row r="322" spans="1:6" x14ac:dyDescent="0.2">
      <c r="A322" s="8" t="s">
        <v>1161</v>
      </c>
      <c r="B322" s="9">
        <v>28706112332</v>
      </c>
      <c r="C322" s="10">
        <f ca="1">TODAY()-4593</f>
        <v>39628</v>
      </c>
      <c r="D322" s="10" t="s">
        <v>3378</v>
      </c>
      <c r="E322" s="12" t="s">
        <v>3532</v>
      </c>
      <c r="F322" s="16">
        <v>380000</v>
      </c>
    </row>
    <row r="323" spans="1:6" x14ac:dyDescent="0.2">
      <c r="A323" s="8" t="s">
        <v>2008</v>
      </c>
      <c r="B323" s="9">
        <v>17804177947</v>
      </c>
      <c r="C323" s="10">
        <f ca="1">TODAY()-3062</f>
        <v>41159</v>
      </c>
      <c r="D323" s="10" t="s">
        <v>2287</v>
      </c>
      <c r="E323" s="12" t="s">
        <v>3455</v>
      </c>
      <c r="F323" s="16">
        <v>315000</v>
      </c>
    </row>
    <row r="324" spans="1:6" x14ac:dyDescent="0.2">
      <c r="A324" s="8" t="s">
        <v>1498</v>
      </c>
      <c r="B324" s="9">
        <v>17810093064</v>
      </c>
      <c r="C324" s="10">
        <f ca="1">TODAY()-3469</f>
        <v>40752</v>
      </c>
      <c r="D324" s="10" t="s">
        <v>2296</v>
      </c>
      <c r="E324" s="12" t="s">
        <v>3427</v>
      </c>
      <c r="F324" s="16">
        <v>265000</v>
      </c>
    </row>
    <row r="325" spans="1:6" x14ac:dyDescent="0.2">
      <c r="A325" s="8" t="s">
        <v>1380</v>
      </c>
      <c r="B325" s="9">
        <v>27504254582</v>
      </c>
      <c r="C325" s="10">
        <f ca="1">TODAY()-2766</f>
        <v>41455</v>
      </c>
      <c r="D325" s="10" t="s">
        <v>3384</v>
      </c>
      <c r="E325" s="12" t="s">
        <v>3434</v>
      </c>
      <c r="F325" s="16">
        <v>450000</v>
      </c>
    </row>
    <row r="326" spans="1:6" x14ac:dyDescent="0.2">
      <c r="A326" s="8" t="s">
        <v>1257</v>
      </c>
      <c r="B326" s="9">
        <v>16004138923</v>
      </c>
      <c r="C326" s="10">
        <f ca="1">TODAY()-3973</f>
        <v>40248</v>
      </c>
      <c r="D326" s="10" t="s">
        <v>3397</v>
      </c>
      <c r="E326" s="12" t="s">
        <v>3516</v>
      </c>
      <c r="F326" s="16">
        <v>305000</v>
      </c>
    </row>
    <row r="327" spans="1:6" x14ac:dyDescent="0.2">
      <c r="A327" s="8" t="s">
        <v>1063</v>
      </c>
      <c r="B327" s="9">
        <v>18207047292</v>
      </c>
      <c r="C327" s="10">
        <f ca="1">TODAY()-1255</f>
        <v>42966</v>
      </c>
      <c r="D327" s="10" t="s">
        <v>3388</v>
      </c>
      <c r="E327" s="12" t="s">
        <v>3413</v>
      </c>
      <c r="F327" s="16">
        <v>385000</v>
      </c>
    </row>
    <row r="328" spans="1:6" x14ac:dyDescent="0.2">
      <c r="A328" s="8" t="s">
        <v>1492</v>
      </c>
      <c r="B328" s="9">
        <v>18006202983</v>
      </c>
      <c r="C328" s="10">
        <f ca="1">TODAY()-4355</f>
        <v>39866</v>
      </c>
      <c r="D328" s="10" t="s">
        <v>3399</v>
      </c>
      <c r="E328" s="12" t="s">
        <v>3418</v>
      </c>
      <c r="F328" s="16">
        <v>315000</v>
      </c>
    </row>
    <row r="329" spans="1:6" x14ac:dyDescent="0.2">
      <c r="A329" s="8" t="s">
        <v>1037</v>
      </c>
      <c r="B329" s="9">
        <v>17206044666</v>
      </c>
      <c r="C329" s="10">
        <f ca="1">TODAY()-2219</f>
        <v>42002</v>
      </c>
      <c r="D329" s="10" t="s">
        <v>2291</v>
      </c>
      <c r="E329" s="12" t="s">
        <v>3488</v>
      </c>
      <c r="F329" s="16">
        <v>275000</v>
      </c>
    </row>
    <row r="330" spans="1:6" x14ac:dyDescent="0.2">
      <c r="A330" s="8" t="s">
        <v>8</v>
      </c>
      <c r="B330" s="9">
        <v>18009024049</v>
      </c>
      <c r="C330" s="10">
        <f ca="1">TODAY()-479</f>
        <v>43742</v>
      </c>
      <c r="D330" s="10" t="s">
        <v>3399</v>
      </c>
      <c r="E330" s="12" t="s">
        <v>3502</v>
      </c>
      <c r="F330" s="16">
        <v>295000</v>
      </c>
    </row>
    <row r="331" spans="1:6" x14ac:dyDescent="0.2">
      <c r="A331" s="8" t="s">
        <v>690</v>
      </c>
      <c r="B331" s="9">
        <v>28501146828</v>
      </c>
      <c r="C331" s="10">
        <f ca="1">TODAY()-1205</f>
        <v>43016</v>
      </c>
      <c r="D331" s="10" t="s">
        <v>2288</v>
      </c>
      <c r="E331" s="12" t="s">
        <v>3437</v>
      </c>
      <c r="F331" s="16">
        <v>325000</v>
      </c>
    </row>
    <row r="332" spans="1:6" x14ac:dyDescent="0.2">
      <c r="A332" s="8" t="s">
        <v>1598</v>
      </c>
      <c r="B332" s="9">
        <v>26010073001</v>
      </c>
      <c r="C332" s="10">
        <f ca="1">TODAY()-1812</f>
        <v>42409</v>
      </c>
      <c r="D332" s="10" t="s">
        <v>2290</v>
      </c>
      <c r="E332" s="12" t="s">
        <v>3524</v>
      </c>
      <c r="F332" s="16">
        <v>185000</v>
      </c>
    </row>
    <row r="333" spans="1:6" x14ac:dyDescent="0.2">
      <c r="A333" s="8" t="s">
        <v>1918</v>
      </c>
      <c r="B333" s="9">
        <v>16007267213</v>
      </c>
      <c r="C333" s="10">
        <f ca="1">TODAY()-4189</f>
        <v>40032</v>
      </c>
      <c r="D333" s="10" t="s">
        <v>3384</v>
      </c>
      <c r="E333" s="12" t="s">
        <v>3445</v>
      </c>
      <c r="F333" s="16">
        <v>295000</v>
      </c>
    </row>
    <row r="334" spans="1:6" x14ac:dyDescent="0.2">
      <c r="A334" s="8" t="s">
        <v>1869</v>
      </c>
      <c r="B334" s="9">
        <v>17706222705</v>
      </c>
      <c r="C334" s="10">
        <f ca="1">TODAY()-1399</f>
        <v>42822</v>
      </c>
      <c r="D334" s="10" t="s">
        <v>3391</v>
      </c>
      <c r="E334" s="12" t="s">
        <v>3391</v>
      </c>
      <c r="F334" s="16">
        <v>335000</v>
      </c>
    </row>
    <row r="335" spans="1:6" x14ac:dyDescent="0.2">
      <c r="A335" s="8" t="s">
        <v>890</v>
      </c>
      <c r="B335" s="9">
        <v>18812166286</v>
      </c>
      <c r="C335" s="10">
        <f ca="1">TODAY()-4741</f>
        <v>39480</v>
      </c>
      <c r="D335" s="10" t="s">
        <v>2293</v>
      </c>
      <c r="E335" s="12" t="s">
        <v>3435</v>
      </c>
      <c r="F335" s="16">
        <v>480000</v>
      </c>
    </row>
    <row r="336" spans="1:6" x14ac:dyDescent="0.2">
      <c r="A336" s="8" t="s">
        <v>1863</v>
      </c>
      <c r="B336" s="9">
        <v>27505137927</v>
      </c>
      <c r="C336" s="10">
        <f ca="1">TODAY()-4900</f>
        <v>39321</v>
      </c>
      <c r="D336" s="10" t="s">
        <v>3385</v>
      </c>
      <c r="E336" s="12" t="s">
        <v>3462</v>
      </c>
      <c r="F336" s="16">
        <v>320000</v>
      </c>
    </row>
    <row r="337" spans="1:6" x14ac:dyDescent="0.2">
      <c r="A337" s="8" t="s">
        <v>1755</v>
      </c>
      <c r="B337" s="9">
        <v>18711059503</v>
      </c>
      <c r="C337" s="10">
        <f ca="1">TODAY()-3388</f>
        <v>40833</v>
      </c>
      <c r="D337" s="10" t="s">
        <v>3388</v>
      </c>
      <c r="E337" s="12" t="s">
        <v>3413</v>
      </c>
      <c r="F337" s="16">
        <v>275000</v>
      </c>
    </row>
    <row r="338" spans="1:6" x14ac:dyDescent="0.2">
      <c r="A338" s="8" t="s">
        <v>552</v>
      </c>
      <c r="B338" s="9">
        <v>16502093538</v>
      </c>
      <c r="C338" s="10">
        <f ca="1">TODAY()-3997</f>
        <v>40224</v>
      </c>
      <c r="D338" s="10" t="s">
        <v>2294</v>
      </c>
      <c r="E338" s="12" t="s">
        <v>3435</v>
      </c>
      <c r="F338" s="16">
        <v>255000</v>
      </c>
    </row>
    <row r="339" spans="1:6" x14ac:dyDescent="0.2">
      <c r="A339" s="8" t="s">
        <v>455</v>
      </c>
      <c r="B339" s="9">
        <v>17809071669</v>
      </c>
      <c r="C339" s="10">
        <f ca="1">TODAY()-2856</f>
        <v>41365</v>
      </c>
      <c r="D339" s="10" t="s">
        <v>2287</v>
      </c>
      <c r="E339" s="12" t="s">
        <v>2287</v>
      </c>
      <c r="F339" s="16">
        <v>340000</v>
      </c>
    </row>
    <row r="340" spans="1:6" x14ac:dyDescent="0.2">
      <c r="A340" s="8" t="s">
        <v>957</v>
      </c>
      <c r="B340" s="9">
        <v>18505122260</v>
      </c>
      <c r="C340" s="10">
        <f ca="1">TODAY()-3732</f>
        <v>40489</v>
      </c>
      <c r="D340" s="10" t="s">
        <v>3391</v>
      </c>
      <c r="E340" s="12" t="s">
        <v>3507</v>
      </c>
      <c r="F340" s="16">
        <v>345000</v>
      </c>
    </row>
    <row r="341" spans="1:6" x14ac:dyDescent="0.2">
      <c r="A341" s="8" t="s">
        <v>600</v>
      </c>
      <c r="B341" s="9">
        <v>16502238832</v>
      </c>
      <c r="C341" s="10">
        <f ca="1">TODAY()-2253</f>
        <v>41968</v>
      </c>
      <c r="D341" s="10" t="s">
        <v>3386</v>
      </c>
      <c r="E341" s="12" t="s">
        <v>3548</v>
      </c>
      <c r="F341" s="16">
        <v>280000</v>
      </c>
    </row>
    <row r="342" spans="1:6" x14ac:dyDescent="0.2">
      <c r="A342" s="8" t="s">
        <v>858</v>
      </c>
      <c r="B342" s="9">
        <v>16708119604</v>
      </c>
      <c r="C342" s="10">
        <f ca="1">TODAY()-744</f>
        <v>43477</v>
      </c>
      <c r="D342" s="10" t="s">
        <v>3398</v>
      </c>
      <c r="E342" s="12" t="s">
        <v>3476</v>
      </c>
      <c r="F342" s="16">
        <v>495000</v>
      </c>
    </row>
    <row r="343" spans="1:6" x14ac:dyDescent="0.2">
      <c r="A343" s="8" t="s">
        <v>674</v>
      </c>
      <c r="B343" s="9">
        <v>16001091355</v>
      </c>
      <c r="C343" s="10">
        <f ca="1">TODAY()-4468</f>
        <v>39753</v>
      </c>
      <c r="D343" s="10" t="s">
        <v>3389</v>
      </c>
      <c r="E343" s="12" t="s">
        <v>3505</v>
      </c>
      <c r="F343" s="16">
        <v>500000</v>
      </c>
    </row>
    <row r="344" spans="1:6" x14ac:dyDescent="0.2">
      <c r="A344" s="8" t="s">
        <v>527</v>
      </c>
      <c r="B344" s="9">
        <v>26210284612</v>
      </c>
      <c r="C344" s="10">
        <f ca="1">TODAY()-2930</f>
        <v>41291</v>
      </c>
      <c r="D344" s="10" t="s">
        <v>3402</v>
      </c>
      <c r="E344" s="12" t="s">
        <v>3434</v>
      </c>
      <c r="F344" s="16">
        <v>305000</v>
      </c>
    </row>
    <row r="345" spans="1:6" x14ac:dyDescent="0.2">
      <c r="A345" s="8" t="s">
        <v>1489</v>
      </c>
      <c r="B345" s="9">
        <v>17509248425</v>
      </c>
      <c r="C345" s="10">
        <f ca="1">TODAY()-2847</f>
        <v>41374</v>
      </c>
      <c r="D345" s="10" t="s">
        <v>2300</v>
      </c>
      <c r="E345" s="12" t="s">
        <v>2300</v>
      </c>
      <c r="F345" s="16">
        <v>415000</v>
      </c>
    </row>
    <row r="346" spans="1:6" x14ac:dyDescent="0.2">
      <c r="A346" s="8" t="s">
        <v>1277</v>
      </c>
      <c r="B346" s="9">
        <v>16903151599</v>
      </c>
      <c r="C346" s="10">
        <f ca="1">TODAY()-2795</f>
        <v>41426</v>
      </c>
      <c r="D346" s="10" t="s">
        <v>2293</v>
      </c>
      <c r="E346" s="12" t="s">
        <v>3494</v>
      </c>
      <c r="F346" s="16">
        <v>400000</v>
      </c>
    </row>
    <row r="347" spans="1:6" x14ac:dyDescent="0.2">
      <c r="A347" s="8" t="s">
        <v>1217</v>
      </c>
      <c r="B347" s="9">
        <v>18908227625</v>
      </c>
      <c r="C347" s="10">
        <f ca="1">TODAY()-2836</f>
        <v>41385</v>
      </c>
      <c r="D347" s="10" t="s">
        <v>3379</v>
      </c>
      <c r="E347" s="12" t="s">
        <v>3434</v>
      </c>
      <c r="F347" s="16">
        <v>220000</v>
      </c>
    </row>
    <row r="348" spans="1:6" x14ac:dyDescent="0.2">
      <c r="A348" s="8" t="s">
        <v>736</v>
      </c>
      <c r="B348" s="9">
        <v>17902197208</v>
      </c>
      <c r="C348" s="10">
        <f ca="1">TODAY()-3511</f>
        <v>40710</v>
      </c>
      <c r="D348" s="10" t="s">
        <v>3382</v>
      </c>
      <c r="E348" s="12" t="s">
        <v>3465</v>
      </c>
      <c r="F348" s="16">
        <v>390000</v>
      </c>
    </row>
    <row r="349" spans="1:6" x14ac:dyDescent="0.2">
      <c r="A349" s="8" t="s">
        <v>704</v>
      </c>
      <c r="B349" s="9">
        <v>26307056863</v>
      </c>
      <c r="C349" s="10">
        <f ca="1">TODAY()-2972</f>
        <v>41249</v>
      </c>
      <c r="D349" s="10" t="s">
        <v>3398</v>
      </c>
      <c r="E349" s="12" t="s">
        <v>3476</v>
      </c>
      <c r="F349" s="16">
        <v>455000</v>
      </c>
    </row>
    <row r="350" spans="1:6" x14ac:dyDescent="0.2">
      <c r="A350" s="8" t="s">
        <v>1243</v>
      </c>
      <c r="B350" s="9">
        <v>26001228595</v>
      </c>
      <c r="C350" s="10">
        <f ca="1">TODAY()-4147</f>
        <v>40074</v>
      </c>
      <c r="D350" s="10" t="s">
        <v>2301</v>
      </c>
      <c r="E350" s="12" t="s">
        <v>3495</v>
      </c>
      <c r="F350" s="16">
        <v>500000</v>
      </c>
    </row>
    <row r="351" spans="1:6" x14ac:dyDescent="0.2">
      <c r="A351" s="8" t="s">
        <v>942</v>
      </c>
      <c r="B351" s="9">
        <v>26210031537</v>
      </c>
      <c r="C351" s="10">
        <f ca="1">TODAY()-107</f>
        <v>44114</v>
      </c>
      <c r="D351" s="10" t="s">
        <v>3394</v>
      </c>
      <c r="E351" s="12" t="s">
        <v>3394</v>
      </c>
      <c r="F351" s="16">
        <v>270000</v>
      </c>
    </row>
    <row r="352" spans="1:6" x14ac:dyDescent="0.2">
      <c r="A352" s="8" t="s">
        <v>1152</v>
      </c>
      <c r="B352" s="9">
        <v>27206055735</v>
      </c>
      <c r="C352" s="10">
        <f ca="1">TODAY()-3478</f>
        <v>40743</v>
      </c>
      <c r="D352" s="10" t="s">
        <v>3396</v>
      </c>
      <c r="E352" s="12" t="s">
        <v>3548</v>
      </c>
      <c r="F352" s="16">
        <v>200000</v>
      </c>
    </row>
    <row r="353" spans="1:6" x14ac:dyDescent="0.2">
      <c r="A353" s="8" t="s">
        <v>1394</v>
      </c>
      <c r="B353" s="9">
        <v>16202268833</v>
      </c>
      <c r="C353" s="10">
        <f ca="1">TODAY()-1472</f>
        <v>42749</v>
      </c>
      <c r="D353" s="10" t="s">
        <v>2284</v>
      </c>
      <c r="E353" s="12" t="s">
        <v>3506</v>
      </c>
      <c r="F353" s="16">
        <v>220000</v>
      </c>
    </row>
    <row r="354" spans="1:6" x14ac:dyDescent="0.2">
      <c r="A354" s="8" t="s">
        <v>1159</v>
      </c>
      <c r="B354" s="9">
        <v>27003148076</v>
      </c>
      <c r="C354" s="10">
        <f ca="1">TODAY()-1065</f>
        <v>43156</v>
      </c>
      <c r="D354" s="10" t="s">
        <v>2297</v>
      </c>
      <c r="E354" s="12" t="s">
        <v>3564</v>
      </c>
      <c r="F354" s="16">
        <v>240000</v>
      </c>
    </row>
    <row r="355" spans="1:6" x14ac:dyDescent="0.2">
      <c r="A355" s="8" t="s">
        <v>1759</v>
      </c>
      <c r="B355" s="9">
        <v>26304028548</v>
      </c>
      <c r="C355" s="10">
        <f ca="1">TODAY()-1683</f>
        <v>42538</v>
      </c>
      <c r="D355" s="10" t="s">
        <v>3400</v>
      </c>
      <c r="E355" s="12" t="s">
        <v>3464</v>
      </c>
      <c r="F355" s="16">
        <v>460000</v>
      </c>
    </row>
    <row r="356" spans="1:6" x14ac:dyDescent="0.2">
      <c r="A356" s="8" t="s">
        <v>1669</v>
      </c>
      <c r="B356" s="9">
        <v>16509113085</v>
      </c>
      <c r="C356" s="10">
        <f ca="1">TODAY()-3490</f>
        <v>40731</v>
      </c>
      <c r="D356" s="10" t="s">
        <v>2299</v>
      </c>
      <c r="E356" s="12" t="s">
        <v>3423</v>
      </c>
      <c r="F356" s="16">
        <v>180000</v>
      </c>
    </row>
    <row r="357" spans="1:6" x14ac:dyDescent="0.2">
      <c r="A357" s="8" t="s">
        <v>1486</v>
      </c>
      <c r="B357" s="9">
        <v>18703183156</v>
      </c>
      <c r="C357" s="10">
        <f ca="1">TODAY()-602</f>
        <v>43619</v>
      </c>
      <c r="D357" s="10" t="s">
        <v>2297</v>
      </c>
      <c r="E357" s="12" t="s">
        <v>3455</v>
      </c>
      <c r="F357" s="16">
        <v>315000</v>
      </c>
    </row>
    <row r="358" spans="1:6" x14ac:dyDescent="0.2">
      <c r="A358" s="8" t="s">
        <v>806</v>
      </c>
      <c r="B358" s="9">
        <v>28605255622</v>
      </c>
      <c r="C358" s="10">
        <f ca="1">TODAY()-1171</f>
        <v>43050</v>
      </c>
      <c r="D358" s="10" t="s">
        <v>3391</v>
      </c>
      <c r="E358" s="12" t="s">
        <v>3503</v>
      </c>
      <c r="F358" s="16">
        <v>230000</v>
      </c>
    </row>
    <row r="359" spans="1:6" x14ac:dyDescent="0.2">
      <c r="A359" s="8" t="s">
        <v>1841</v>
      </c>
      <c r="B359" s="9">
        <v>29012197433</v>
      </c>
      <c r="C359" s="10">
        <f ca="1">TODAY()-4551</f>
        <v>39670</v>
      </c>
      <c r="D359" s="10" t="s">
        <v>2291</v>
      </c>
      <c r="E359" s="12" t="s">
        <v>3501</v>
      </c>
      <c r="F359" s="16">
        <v>410000</v>
      </c>
    </row>
    <row r="360" spans="1:6" x14ac:dyDescent="0.2">
      <c r="A360" s="8" t="s">
        <v>1749</v>
      </c>
      <c r="B360" s="9">
        <v>18203201995</v>
      </c>
      <c r="C360" s="10">
        <f ca="1">TODAY()-1435</f>
        <v>42786</v>
      </c>
      <c r="D360" s="10" t="s">
        <v>3392</v>
      </c>
      <c r="E360" s="12" t="s">
        <v>3524</v>
      </c>
      <c r="F360" s="16">
        <v>310000</v>
      </c>
    </row>
    <row r="361" spans="1:6" x14ac:dyDescent="0.2">
      <c r="A361" s="8" t="s">
        <v>658</v>
      </c>
      <c r="B361" s="9">
        <v>26601144122</v>
      </c>
      <c r="C361" s="10">
        <f ca="1">TODAY()-1485</f>
        <v>42736</v>
      </c>
      <c r="D361" s="10" t="s">
        <v>2304</v>
      </c>
      <c r="E361" s="12" t="s">
        <v>3523</v>
      </c>
      <c r="F361" s="16">
        <v>450000</v>
      </c>
    </row>
    <row r="362" spans="1:6" x14ac:dyDescent="0.2">
      <c r="A362" s="8" t="s">
        <v>1359</v>
      </c>
      <c r="B362" s="9">
        <v>16708237197</v>
      </c>
      <c r="C362" s="10">
        <f ca="1">TODAY()-2155</f>
        <v>42066</v>
      </c>
      <c r="D362" s="10" t="s">
        <v>2299</v>
      </c>
      <c r="E362" s="12" t="s">
        <v>3478</v>
      </c>
      <c r="F362" s="16">
        <v>375000</v>
      </c>
    </row>
    <row r="363" spans="1:6" x14ac:dyDescent="0.2">
      <c r="A363" s="8" t="s">
        <v>449</v>
      </c>
      <c r="B363" s="9">
        <v>19006268542</v>
      </c>
      <c r="C363" s="10">
        <f ca="1">TODAY()-247</f>
        <v>43974</v>
      </c>
      <c r="D363" s="10" t="s">
        <v>2293</v>
      </c>
      <c r="E363" s="12" t="s">
        <v>3489</v>
      </c>
      <c r="F363" s="16">
        <v>440000</v>
      </c>
    </row>
    <row r="364" spans="1:6" x14ac:dyDescent="0.2">
      <c r="A364" s="8" t="s">
        <v>749</v>
      </c>
      <c r="B364" s="9">
        <v>16406135990</v>
      </c>
      <c r="C364" s="10">
        <f ca="1">TODAY()-3240</f>
        <v>40981</v>
      </c>
      <c r="D364" s="10" t="s">
        <v>2289</v>
      </c>
      <c r="E364" s="12" t="s">
        <v>3467</v>
      </c>
      <c r="F364" s="16">
        <v>410000</v>
      </c>
    </row>
    <row r="365" spans="1:6" x14ac:dyDescent="0.2">
      <c r="A365" s="8" t="s">
        <v>1682</v>
      </c>
      <c r="B365" s="9">
        <v>16210022706</v>
      </c>
      <c r="C365" s="10">
        <f ca="1">TODAY()-697</f>
        <v>43524</v>
      </c>
      <c r="D365" s="10" t="s">
        <v>3384</v>
      </c>
      <c r="E365" s="12" t="s">
        <v>3433</v>
      </c>
      <c r="F365" s="16">
        <v>235000</v>
      </c>
    </row>
    <row r="366" spans="1:6" x14ac:dyDescent="0.2">
      <c r="A366" s="8" t="s">
        <v>2155</v>
      </c>
      <c r="B366" s="9">
        <v>17004046715</v>
      </c>
      <c r="C366" s="10">
        <f ca="1">TODAY()-1302</f>
        <v>42919</v>
      </c>
      <c r="D366" s="10" t="s">
        <v>2302</v>
      </c>
      <c r="E366" s="12" t="s">
        <v>3420</v>
      </c>
      <c r="F366" s="16">
        <v>270000</v>
      </c>
    </row>
    <row r="367" spans="1:6" x14ac:dyDescent="0.2">
      <c r="A367" s="8" t="s">
        <v>1929</v>
      </c>
      <c r="B367" s="9">
        <v>17108214860</v>
      </c>
      <c r="C367" s="10">
        <f ca="1">TODAY()-4058</f>
        <v>40163</v>
      </c>
      <c r="D367" s="10" t="s">
        <v>3391</v>
      </c>
      <c r="E367" s="12" t="s">
        <v>3473</v>
      </c>
      <c r="F367" s="16">
        <v>275000</v>
      </c>
    </row>
    <row r="368" spans="1:6" x14ac:dyDescent="0.2">
      <c r="A368" s="8" t="s">
        <v>583</v>
      </c>
      <c r="B368" s="9">
        <v>16907229686</v>
      </c>
      <c r="C368" s="10">
        <f ca="1">TODAY()-1977</f>
        <v>42244</v>
      </c>
      <c r="D368" s="10" t="s">
        <v>3389</v>
      </c>
      <c r="E368" s="12" t="s">
        <v>3502</v>
      </c>
      <c r="F368" s="16">
        <v>305000</v>
      </c>
    </row>
    <row r="369" spans="1:6" x14ac:dyDescent="0.2">
      <c r="A369" s="8" t="s">
        <v>1464</v>
      </c>
      <c r="B369" s="9">
        <v>26409162741</v>
      </c>
      <c r="C369" s="10">
        <f ca="1">TODAY()-2517</f>
        <v>41704</v>
      </c>
      <c r="D369" s="10" t="s">
        <v>3387</v>
      </c>
      <c r="E369" s="12" t="s">
        <v>3387</v>
      </c>
      <c r="F369" s="16">
        <v>240000</v>
      </c>
    </row>
    <row r="370" spans="1:6" x14ac:dyDescent="0.2">
      <c r="A370" s="8" t="s">
        <v>1894</v>
      </c>
      <c r="B370" s="9">
        <v>26509217704</v>
      </c>
      <c r="C370" s="10">
        <f ca="1">TODAY()-4449</f>
        <v>39772</v>
      </c>
      <c r="D370" s="10" t="s">
        <v>2302</v>
      </c>
      <c r="E370" s="12" t="s">
        <v>3511</v>
      </c>
      <c r="F370" s="16">
        <v>240000</v>
      </c>
    </row>
    <row r="371" spans="1:6" x14ac:dyDescent="0.2">
      <c r="A371" s="8" t="s">
        <v>556</v>
      </c>
      <c r="B371" s="9">
        <v>16208254616</v>
      </c>
      <c r="C371" s="10">
        <f ca="1">TODAY()-4827</f>
        <v>39394</v>
      </c>
      <c r="D371" s="10" t="s">
        <v>2285</v>
      </c>
      <c r="E371" s="12" t="s">
        <v>3405</v>
      </c>
      <c r="F371" s="16">
        <v>450000</v>
      </c>
    </row>
    <row r="372" spans="1:6" x14ac:dyDescent="0.2">
      <c r="A372" s="8" t="s">
        <v>1302</v>
      </c>
      <c r="B372" s="9">
        <v>28110136270</v>
      </c>
      <c r="C372" s="10">
        <f ca="1">TODAY()-994</f>
        <v>43227</v>
      </c>
      <c r="D372" s="10" t="s">
        <v>2285</v>
      </c>
      <c r="E372" s="12" t="s">
        <v>3514</v>
      </c>
      <c r="F372" s="16">
        <v>400000</v>
      </c>
    </row>
    <row r="373" spans="1:6" x14ac:dyDescent="0.2">
      <c r="A373" s="8" t="s">
        <v>549</v>
      </c>
      <c r="B373" s="9">
        <v>18007153515</v>
      </c>
      <c r="C373" s="10">
        <f ca="1">TODAY()-1295</f>
        <v>42926</v>
      </c>
      <c r="D373" s="10" t="s">
        <v>3395</v>
      </c>
      <c r="E373" s="12" t="s">
        <v>3494</v>
      </c>
      <c r="F373" s="16">
        <v>400000</v>
      </c>
    </row>
    <row r="374" spans="1:6" x14ac:dyDescent="0.2">
      <c r="A374" s="8" t="s">
        <v>1308</v>
      </c>
      <c r="B374" s="9">
        <v>17305224884</v>
      </c>
      <c r="C374" s="10">
        <f ca="1">TODAY()-911</f>
        <v>43310</v>
      </c>
      <c r="D374" s="10" t="s">
        <v>3395</v>
      </c>
      <c r="E374" s="12" t="s">
        <v>3446</v>
      </c>
      <c r="F374" s="16">
        <v>340000</v>
      </c>
    </row>
    <row r="375" spans="1:6" x14ac:dyDescent="0.2">
      <c r="A375" s="8" t="s">
        <v>2275</v>
      </c>
      <c r="B375" s="9">
        <v>26601211944</v>
      </c>
      <c r="C375" s="10">
        <f ca="1">TODAY()-3940</f>
        <v>40281</v>
      </c>
      <c r="D375" s="10" t="s">
        <v>2287</v>
      </c>
      <c r="E375" s="12" t="s">
        <v>3480</v>
      </c>
      <c r="F375" s="16">
        <v>245000</v>
      </c>
    </row>
    <row r="376" spans="1:6" x14ac:dyDescent="0.2">
      <c r="A376" s="8" t="s">
        <v>746</v>
      </c>
      <c r="B376" s="9">
        <v>16803283778</v>
      </c>
      <c r="C376" s="10">
        <f ca="1">TODAY()-4345</f>
        <v>39876</v>
      </c>
      <c r="D376" s="10" t="s">
        <v>3383</v>
      </c>
      <c r="E376" s="12" t="s">
        <v>3509</v>
      </c>
      <c r="F376" s="16">
        <v>495000</v>
      </c>
    </row>
    <row r="377" spans="1:6" x14ac:dyDescent="0.2">
      <c r="A377" s="8" t="s">
        <v>1866</v>
      </c>
      <c r="B377" s="9">
        <v>18101111716</v>
      </c>
      <c r="C377" s="10">
        <f ca="1">TODAY()-3449</f>
        <v>40772</v>
      </c>
      <c r="D377" s="10" t="s">
        <v>3382</v>
      </c>
      <c r="E377" s="12" t="s">
        <v>3433</v>
      </c>
      <c r="F377" s="16">
        <v>380000</v>
      </c>
    </row>
    <row r="378" spans="1:6" x14ac:dyDescent="0.2">
      <c r="A378" s="8" t="s">
        <v>1091</v>
      </c>
      <c r="B378" s="9">
        <v>26805013352</v>
      </c>
      <c r="C378" s="10">
        <f ca="1">TODAY()-3557</f>
        <v>40664</v>
      </c>
      <c r="D378" s="10" t="s">
        <v>3400</v>
      </c>
      <c r="E378" s="12" t="s">
        <v>3520</v>
      </c>
      <c r="F378" s="16">
        <v>380000</v>
      </c>
    </row>
    <row r="379" spans="1:6" x14ac:dyDescent="0.2">
      <c r="A379" s="8" t="s">
        <v>1951</v>
      </c>
      <c r="B379" s="9">
        <v>28603207754</v>
      </c>
      <c r="C379" s="10">
        <f ca="1">TODAY()-2436</f>
        <v>41785</v>
      </c>
      <c r="D379" s="10" t="s">
        <v>3390</v>
      </c>
      <c r="E379" s="12" t="s">
        <v>3442</v>
      </c>
      <c r="F379" s="16">
        <v>245000</v>
      </c>
    </row>
    <row r="380" spans="1:6" x14ac:dyDescent="0.2">
      <c r="A380" s="8" t="s">
        <v>1845</v>
      </c>
      <c r="B380" s="9">
        <v>17106257852</v>
      </c>
      <c r="C380" s="10">
        <f ca="1">TODAY()-2086</f>
        <v>42135</v>
      </c>
      <c r="D380" s="10" t="s">
        <v>3387</v>
      </c>
      <c r="E380" s="12" t="s">
        <v>3457</v>
      </c>
      <c r="F380" s="16">
        <v>265000</v>
      </c>
    </row>
    <row r="381" spans="1:6" x14ac:dyDescent="0.2">
      <c r="A381" s="8" t="s">
        <v>1997</v>
      </c>
      <c r="B381" s="9">
        <v>16101153411</v>
      </c>
      <c r="C381" s="10">
        <f ca="1">TODAY()-1623</f>
        <v>42598</v>
      </c>
      <c r="D381" s="10" t="s">
        <v>2299</v>
      </c>
      <c r="E381" s="12" t="s">
        <v>3511</v>
      </c>
      <c r="F381" s="16">
        <v>175000</v>
      </c>
    </row>
    <row r="382" spans="1:6" x14ac:dyDescent="0.2">
      <c r="A382" s="8" t="s">
        <v>1852</v>
      </c>
      <c r="B382" s="9">
        <v>18201204084</v>
      </c>
      <c r="C382" s="10">
        <f ca="1">TODAY()-94</f>
        <v>44127</v>
      </c>
      <c r="D382" s="10" t="s">
        <v>3393</v>
      </c>
      <c r="E382" s="12" t="s">
        <v>3481</v>
      </c>
      <c r="F382" s="16">
        <v>260000</v>
      </c>
    </row>
    <row r="383" spans="1:6" x14ac:dyDescent="0.2">
      <c r="A383" s="8" t="s">
        <v>1988</v>
      </c>
      <c r="B383" s="9">
        <v>17111254314</v>
      </c>
      <c r="C383" s="10">
        <f ca="1">TODAY()-2147</f>
        <v>42074</v>
      </c>
      <c r="D383" s="10" t="s">
        <v>3386</v>
      </c>
      <c r="E383" s="12" t="s">
        <v>3526</v>
      </c>
      <c r="F383" s="16">
        <v>395000</v>
      </c>
    </row>
    <row r="384" spans="1:6" x14ac:dyDescent="0.2">
      <c r="A384" s="8" t="s">
        <v>1777</v>
      </c>
      <c r="B384" s="9">
        <v>16208253123</v>
      </c>
      <c r="C384" s="10">
        <f ca="1">TODAY()-3222</f>
        <v>40999</v>
      </c>
      <c r="D384" s="10" t="s">
        <v>3392</v>
      </c>
      <c r="E384" s="12" t="s">
        <v>3422</v>
      </c>
      <c r="F384" s="16">
        <v>460000</v>
      </c>
    </row>
    <row r="385" spans="1:6" x14ac:dyDescent="0.2">
      <c r="A385" s="8" t="s">
        <v>1009</v>
      </c>
      <c r="B385" s="9">
        <v>16906256964</v>
      </c>
      <c r="C385" s="10">
        <f ca="1">TODAY()-3425</f>
        <v>40796</v>
      </c>
      <c r="D385" s="10" t="s">
        <v>3393</v>
      </c>
      <c r="E385" s="12" t="s">
        <v>3424</v>
      </c>
      <c r="F385" s="16">
        <v>205000</v>
      </c>
    </row>
    <row r="386" spans="1:6" x14ac:dyDescent="0.2">
      <c r="A386" s="8" t="s">
        <v>713</v>
      </c>
      <c r="B386" s="9">
        <v>17012073931</v>
      </c>
      <c r="C386" s="10">
        <f ca="1">TODAY()-2593</f>
        <v>41628</v>
      </c>
      <c r="D386" s="10" t="s">
        <v>2294</v>
      </c>
      <c r="E386" s="12" t="s">
        <v>3410</v>
      </c>
      <c r="F386" s="16">
        <v>360000</v>
      </c>
    </row>
    <row r="387" spans="1:6" x14ac:dyDescent="0.2">
      <c r="A387" s="8" t="s">
        <v>926</v>
      </c>
      <c r="B387" s="9">
        <v>27202197951</v>
      </c>
      <c r="C387" s="10">
        <f ca="1">TODAY()-656</f>
        <v>43565</v>
      </c>
      <c r="D387" s="10" t="s">
        <v>3392</v>
      </c>
      <c r="E387" s="12" t="s">
        <v>3455</v>
      </c>
      <c r="F387" s="16">
        <v>190000</v>
      </c>
    </row>
    <row r="388" spans="1:6" x14ac:dyDescent="0.2">
      <c r="A388" s="8" t="s">
        <v>430</v>
      </c>
      <c r="B388" s="9">
        <v>17707103231</v>
      </c>
      <c r="C388" s="10">
        <f ca="1">TODAY()-889</f>
        <v>43332</v>
      </c>
      <c r="D388" s="10" t="s">
        <v>2299</v>
      </c>
      <c r="E388" s="12" t="s">
        <v>3493</v>
      </c>
      <c r="F388" s="16">
        <v>380000</v>
      </c>
    </row>
    <row r="389" spans="1:6" x14ac:dyDescent="0.2">
      <c r="A389" s="8" t="s">
        <v>978</v>
      </c>
      <c r="B389" s="9">
        <v>28607232631</v>
      </c>
      <c r="C389" s="10">
        <f ca="1">TODAY()-3641</f>
        <v>40580</v>
      </c>
      <c r="D389" s="10" t="s">
        <v>3387</v>
      </c>
      <c r="E389" s="12" t="s">
        <v>3387</v>
      </c>
      <c r="F389" s="16">
        <v>385000</v>
      </c>
    </row>
    <row r="390" spans="1:6" x14ac:dyDescent="0.2">
      <c r="A390" s="8" t="s">
        <v>671</v>
      </c>
      <c r="B390" s="9">
        <v>16810019044</v>
      </c>
      <c r="C390" s="10">
        <f ca="1">TODAY()-965</f>
        <v>43256</v>
      </c>
      <c r="D390" s="10" t="s">
        <v>3402</v>
      </c>
      <c r="E390" s="12" t="s">
        <v>3527</v>
      </c>
      <c r="F390" s="16">
        <v>235000</v>
      </c>
    </row>
    <row r="391" spans="1:6" x14ac:dyDescent="0.2">
      <c r="A391" s="8" t="s">
        <v>558</v>
      </c>
      <c r="B391" s="9">
        <v>18303234684</v>
      </c>
      <c r="C391" s="10">
        <f ca="1">TODAY()-2448</f>
        <v>41773</v>
      </c>
      <c r="D391" s="10" t="s">
        <v>2286</v>
      </c>
      <c r="E391" s="12" t="s">
        <v>3508</v>
      </c>
      <c r="F391" s="16">
        <v>280000</v>
      </c>
    </row>
    <row r="392" spans="1:6" x14ac:dyDescent="0.2">
      <c r="A392" s="8" t="s">
        <v>1233</v>
      </c>
      <c r="B392" s="9">
        <v>27007219228</v>
      </c>
      <c r="C392" s="10">
        <f ca="1">TODAY()-295</f>
        <v>43926</v>
      </c>
      <c r="D392" s="10" t="s">
        <v>3399</v>
      </c>
      <c r="E392" s="12" t="s">
        <v>3470</v>
      </c>
      <c r="F392" s="16">
        <v>475000</v>
      </c>
    </row>
    <row r="393" spans="1:6" x14ac:dyDescent="0.2">
      <c r="A393" s="8" t="s">
        <v>1375</v>
      </c>
      <c r="B393" s="9">
        <v>19012275026</v>
      </c>
      <c r="C393" s="10">
        <f ca="1">TODAY()-1004</f>
        <v>43217</v>
      </c>
      <c r="D393" s="10" t="s">
        <v>3384</v>
      </c>
      <c r="E393" s="12" t="s">
        <v>3471</v>
      </c>
      <c r="F393" s="16">
        <v>285000</v>
      </c>
    </row>
    <row r="394" spans="1:6" x14ac:dyDescent="0.2">
      <c r="A394" s="8" t="s">
        <v>2061</v>
      </c>
      <c r="B394" s="9">
        <v>28310133774</v>
      </c>
      <c r="C394" s="10">
        <f ca="1">TODAY()-4548</f>
        <v>39673</v>
      </c>
      <c r="D394" s="10" t="s">
        <v>2298</v>
      </c>
      <c r="E394" s="12" t="s">
        <v>3457</v>
      </c>
      <c r="F394" s="16">
        <v>260000</v>
      </c>
    </row>
    <row r="395" spans="1:6" x14ac:dyDescent="0.2">
      <c r="A395" s="8" t="s">
        <v>2180</v>
      </c>
      <c r="B395" s="9">
        <v>26307114651</v>
      </c>
      <c r="C395" s="10">
        <f ca="1">TODAY()-2523</f>
        <v>41698</v>
      </c>
      <c r="D395" s="10" t="s">
        <v>3391</v>
      </c>
      <c r="E395" s="12" t="s">
        <v>3501</v>
      </c>
      <c r="F395" s="16">
        <v>305000</v>
      </c>
    </row>
    <row r="396" spans="1:6" x14ac:dyDescent="0.2">
      <c r="A396" s="8" t="s">
        <v>1567</v>
      </c>
      <c r="B396" s="9">
        <v>16703281898</v>
      </c>
      <c r="C396" s="10">
        <f ca="1">TODAY()-4972</f>
        <v>39249</v>
      </c>
      <c r="D396" s="10" t="s">
        <v>2284</v>
      </c>
      <c r="E396" s="12" t="s">
        <v>3561</v>
      </c>
      <c r="F396" s="16">
        <v>365000</v>
      </c>
    </row>
    <row r="397" spans="1:6" x14ac:dyDescent="0.2">
      <c r="A397" s="8" t="s">
        <v>766</v>
      </c>
      <c r="B397" s="9">
        <v>18806159944</v>
      </c>
      <c r="C397" s="10">
        <f ca="1">TODAY()-4257</f>
        <v>39964</v>
      </c>
      <c r="D397" s="10" t="s">
        <v>2285</v>
      </c>
      <c r="E397" s="12" t="s">
        <v>3486</v>
      </c>
      <c r="F397" s="16">
        <v>175000</v>
      </c>
    </row>
    <row r="398" spans="1:6" x14ac:dyDescent="0.2">
      <c r="A398" s="8" t="s">
        <v>1672</v>
      </c>
      <c r="B398" s="9">
        <v>19010027205</v>
      </c>
      <c r="C398" s="10">
        <f ca="1">TODAY()-4749</f>
        <v>39472</v>
      </c>
      <c r="D398" s="10" t="s">
        <v>2289</v>
      </c>
      <c r="E398" s="12" t="s">
        <v>2289</v>
      </c>
      <c r="F398" s="16">
        <v>455000</v>
      </c>
    </row>
    <row r="399" spans="1:6" x14ac:dyDescent="0.2">
      <c r="A399" s="8" t="s">
        <v>1352</v>
      </c>
      <c r="B399" s="9">
        <v>19011198989</v>
      </c>
      <c r="C399" s="10">
        <f ca="1">TODAY()-2190</f>
        <v>42031</v>
      </c>
      <c r="D399" s="10" t="s">
        <v>2289</v>
      </c>
      <c r="E399" s="12" t="s">
        <v>3543</v>
      </c>
      <c r="F399" s="16">
        <v>350000</v>
      </c>
    </row>
    <row r="400" spans="1:6" x14ac:dyDescent="0.2">
      <c r="A400" s="8" t="s">
        <v>1969</v>
      </c>
      <c r="B400" s="9">
        <v>17602018210</v>
      </c>
      <c r="C400" s="10">
        <f ca="1">TODAY()-3924</f>
        <v>40297</v>
      </c>
      <c r="D400" s="10" t="s">
        <v>2303</v>
      </c>
      <c r="E400" s="12" t="s">
        <v>3485</v>
      </c>
      <c r="F400" s="16">
        <v>190000</v>
      </c>
    </row>
    <row r="401" spans="1:6" x14ac:dyDescent="0.2">
      <c r="A401" s="8" t="s">
        <v>1417</v>
      </c>
      <c r="B401" s="9">
        <v>26805247480</v>
      </c>
      <c r="C401" s="10">
        <f ca="1">TODAY()-919</f>
        <v>43302</v>
      </c>
      <c r="D401" s="10" t="s">
        <v>2304</v>
      </c>
      <c r="E401" s="12" t="s">
        <v>3489</v>
      </c>
      <c r="F401" s="16">
        <v>435000</v>
      </c>
    </row>
    <row r="402" spans="1:6" x14ac:dyDescent="0.2">
      <c r="A402" s="8" t="s">
        <v>779</v>
      </c>
      <c r="B402" s="9">
        <v>27206106928</v>
      </c>
      <c r="C402" s="10">
        <f ca="1">TODAY()-1528</f>
        <v>42693</v>
      </c>
      <c r="D402" s="10" t="s">
        <v>2287</v>
      </c>
      <c r="E402" s="12" t="s">
        <v>3451</v>
      </c>
      <c r="F402" s="16">
        <v>360000</v>
      </c>
    </row>
    <row r="403" spans="1:6" x14ac:dyDescent="0.2">
      <c r="A403" s="8" t="s">
        <v>712</v>
      </c>
      <c r="B403" s="9">
        <v>17811071597</v>
      </c>
      <c r="C403" s="10">
        <f ca="1">TODAY()-2452</f>
        <v>41769</v>
      </c>
      <c r="D403" s="10" t="s">
        <v>3381</v>
      </c>
      <c r="E403" s="12" t="s">
        <v>3476</v>
      </c>
      <c r="F403" s="16">
        <v>475000</v>
      </c>
    </row>
    <row r="404" spans="1:6" x14ac:dyDescent="0.2">
      <c r="A404" s="8" t="s">
        <v>628</v>
      </c>
      <c r="B404" s="9">
        <v>18011228397</v>
      </c>
      <c r="C404" s="10">
        <f ca="1">TODAY()-2201</f>
        <v>42020</v>
      </c>
      <c r="D404" s="10" t="s">
        <v>3378</v>
      </c>
      <c r="E404" s="12" t="s">
        <v>3429</v>
      </c>
      <c r="F404" s="16">
        <v>390000</v>
      </c>
    </row>
    <row r="405" spans="1:6" x14ac:dyDescent="0.2">
      <c r="A405" s="8" t="s">
        <v>2159</v>
      </c>
      <c r="B405" s="9">
        <v>26503119668</v>
      </c>
      <c r="C405" s="10">
        <f ca="1">TODAY()-4251</f>
        <v>39970</v>
      </c>
      <c r="D405" s="10" t="s">
        <v>2285</v>
      </c>
      <c r="E405" s="12" t="s">
        <v>3480</v>
      </c>
      <c r="F405" s="16">
        <v>485000</v>
      </c>
    </row>
    <row r="406" spans="1:6" x14ac:dyDescent="0.2">
      <c r="A406" s="8" t="s">
        <v>1680</v>
      </c>
      <c r="B406" s="9">
        <v>16110016747</v>
      </c>
      <c r="C406" s="10">
        <f ca="1">TODAY()-1066</f>
        <v>43155</v>
      </c>
      <c r="D406" s="10" t="s">
        <v>3382</v>
      </c>
      <c r="E406" s="12" t="s">
        <v>3485</v>
      </c>
      <c r="F406" s="16">
        <v>410000</v>
      </c>
    </row>
    <row r="407" spans="1:6" x14ac:dyDescent="0.2">
      <c r="A407" s="8" t="s">
        <v>1987</v>
      </c>
      <c r="B407" s="9">
        <v>17509102297</v>
      </c>
      <c r="C407" s="10">
        <f ca="1">TODAY()-4210</f>
        <v>40011</v>
      </c>
      <c r="D407" s="10" t="s">
        <v>3397</v>
      </c>
      <c r="E407" s="12" t="s">
        <v>3561</v>
      </c>
      <c r="F407" s="16">
        <v>400000</v>
      </c>
    </row>
    <row r="408" spans="1:6" x14ac:dyDescent="0.2">
      <c r="A408" s="8" t="s">
        <v>640</v>
      </c>
      <c r="B408" s="9">
        <v>18509152501</v>
      </c>
      <c r="C408" s="10">
        <f ca="1">TODAY()-414</f>
        <v>43807</v>
      </c>
      <c r="D408" s="10" t="s">
        <v>3378</v>
      </c>
      <c r="E408" s="12" t="s">
        <v>3506</v>
      </c>
      <c r="F408" s="16">
        <v>440000</v>
      </c>
    </row>
    <row r="409" spans="1:6" x14ac:dyDescent="0.2">
      <c r="A409" s="8" t="s">
        <v>1171</v>
      </c>
      <c r="B409" s="9">
        <v>27203026644</v>
      </c>
      <c r="C409" s="10">
        <f ca="1">TODAY()-3621</f>
        <v>40600</v>
      </c>
      <c r="D409" s="10" t="s">
        <v>3385</v>
      </c>
      <c r="E409" s="12" t="s">
        <v>3513</v>
      </c>
      <c r="F409" s="16">
        <v>310000</v>
      </c>
    </row>
    <row r="410" spans="1:6" x14ac:dyDescent="0.2">
      <c r="A410" s="8" t="s">
        <v>1916</v>
      </c>
      <c r="B410" s="9">
        <v>17803077834</v>
      </c>
      <c r="C410" s="10">
        <f ca="1">TODAY()-4771</f>
        <v>39450</v>
      </c>
      <c r="D410" s="10" t="s">
        <v>2290</v>
      </c>
      <c r="E410" s="12" t="s">
        <v>3527</v>
      </c>
      <c r="F410" s="16">
        <v>320000</v>
      </c>
    </row>
    <row r="411" spans="1:6" x14ac:dyDescent="0.2">
      <c r="A411" s="8" t="s">
        <v>878</v>
      </c>
      <c r="B411" s="9">
        <v>27807062314</v>
      </c>
      <c r="C411" s="10">
        <f ca="1">TODAY()-2596</f>
        <v>41625</v>
      </c>
      <c r="D411" s="10" t="s">
        <v>2300</v>
      </c>
      <c r="E411" s="12" t="s">
        <v>2300</v>
      </c>
      <c r="F411" s="16">
        <v>260000</v>
      </c>
    </row>
    <row r="412" spans="1:6" x14ac:dyDescent="0.2">
      <c r="A412" s="8" t="s">
        <v>529</v>
      </c>
      <c r="B412" s="9">
        <v>27907279751</v>
      </c>
      <c r="C412" s="10">
        <f ca="1">TODAY()-2503</f>
        <v>41718</v>
      </c>
      <c r="D412" s="10" t="s">
        <v>2296</v>
      </c>
      <c r="E412" s="12" t="s">
        <v>3462</v>
      </c>
      <c r="F412" s="16">
        <v>420000</v>
      </c>
    </row>
    <row r="413" spans="1:6" x14ac:dyDescent="0.2">
      <c r="A413" s="8" t="s">
        <v>1007</v>
      </c>
      <c r="B413" s="9">
        <v>27108149740</v>
      </c>
      <c r="C413" s="10">
        <f ca="1">TODAY()-2141</f>
        <v>42080</v>
      </c>
      <c r="D413" s="10" t="s">
        <v>3397</v>
      </c>
      <c r="E413" s="12" t="s">
        <v>3453</v>
      </c>
      <c r="F413" s="16">
        <v>375000</v>
      </c>
    </row>
    <row r="414" spans="1:6" x14ac:dyDescent="0.2">
      <c r="A414" s="8" t="s">
        <v>1849</v>
      </c>
      <c r="B414" s="9">
        <v>18406225368</v>
      </c>
      <c r="C414" s="10">
        <f ca="1">TODAY()-458</f>
        <v>43763</v>
      </c>
      <c r="D414" s="10" t="s">
        <v>3399</v>
      </c>
      <c r="E414" s="12" t="s">
        <v>3505</v>
      </c>
      <c r="F414" s="16">
        <v>195000</v>
      </c>
    </row>
    <row r="415" spans="1:6" x14ac:dyDescent="0.2">
      <c r="A415" s="8" t="s">
        <v>1332</v>
      </c>
      <c r="B415" s="9">
        <v>27511168806</v>
      </c>
      <c r="C415" s="10">
        <f ca="1">TODAY()-1011</f>
        <v>43210</v>
      </c>
      <c r="D415" s="10" t="s">
        <v>3379</v>
      </c>
      <c r="E415" s="12" t="s">
        <v>3540</v>
      </c>
      <c r="F415" s="16">
        <v>415000</v>
      </c>
    </row>
    <row r="416" spans="1:6" x14ac:dyDescent="0.2">
      <c r="A416" s="8" t="s">
        <v>1547</v>
      </c>
      <c r="B416" s="9">
        <v>18812076895</v>
      </c>
      <c r="C416" s="10">
        <f ca="1">TODAY()-1584</f>
        <v>42637</v>
      </c>
      <c r="D416" s="10" t="s">
        <v>3388</v>
      </c>
      <c r="E416" s="12" t="s">
        <v>3559</v>
      </c>
      <c r="F416" s="16">
        <v>290000</v>
      </c>
    </row>
    <row r="417" spans="1:6" x14ac:dyDescent="0.2">
      <c r="A417" s="8" t="s">
        <v>2179</v>
      </c>
      <c r="B417" s="9">
        <v>18312232859</v>
      </c>
      <c r="C417" s="10">
        <f ca="1">TODAY()-950</f>
        <v>43271</v>
      </c>
      <c r="D417" s="10" t="s">
        <v>3383</v>
      </c>
      <c r="E417" s="12" t="s">
        <v>3538</v>
      </c>
      <c r="F417" s="16">
        <v>335000</v>
      </c>
    </row>
    <row r="418" spans="1:6" x14ac:dyDescent="0.2">
      <c r="A418" s="8" t="s">
        <v>1384</v>
      </c>
      <c r="B418" s="9">
        <v>18311214442</v>
      </c>
      <c r="C418" s="10">
        <f ca="1">TODAY()-59</f>
        <v>44162</v>
      </c>
      <c r="D418" s="10" t="s">
        <v>2291</v>
      </c>
      <c r="E418" s="12" t="s">
        <v>3430</v>
      </c>
      <c r="F418" s="16">
        <v>390000</v>
      </c>
    </row>
    <row r="419" spans="1:6" x14ac:dyDescent="0.2">
      <c r="A419" s="8" t="s">
        <v>841</v>
      </c>
      <c r="B419" s="9">
        <v>18303225026</v>
      </c>
      <c r="C419" s="10">
        <f ca="1">TODAY()-1644</f>
        <v>42577</v>
      </c>
      <c r="D419" s="10" t="s">
        <v>3383</v>
      </c>
      <c r="E419" s="12" t="s">
        <v>3447</v>
      </c>
      <c r="F419" s="16">
        <v>470000</v>
      </c>
    </row>
    <row r="420" spans="1:6" x14ac:dyDescent="0.2">
      <c r="A420" s="8" t="s">
        <v>2240</v>
      </c>
      <c r="B420" s="9">
        <v>28409092733</v>
      </c>
      <c r="C420" s="10">
        <f ca="1">TODAY()-2313</f>
        <v>41908</v>
      </c>
      <c r="D420" s="10" t="s">
        <v>2294</v>
      </c>
      <c r="E420" s="12" t="s">
        <v>3403</v>
      </c>
      <c r="F420" s="16">
        <v>330000</v>
      </c>
    </row>
    <row r="421" spans="1:6" x14ac:dyDescent="0.2">
      <c r="A421" s="8" t="s">
        <v>889</v>
      </c>
      <c r="B421" s="9">
        <v>18708248585</v>
      </c>
      <c r="C421" s="10">
        <f ca="1">TODAY()-1159</f>
        <v>43062</v>
      </c>
      <c r="D421" s="10" t="s">
        <v>3388</v>
      </c>
      <c r="E421" s="12" t="s">
        <v>3502</v>
      </c>
      <c r="F421" s="16">
        <v>440000</v>
      </c>
    </row>
    <row r="422" spans="1:6" x14ac:dyDescent="0.2">
      <c r="A422" s="8" t="s">
        <v>1702</v>
      </c>
      <c r="B422" s="9">
        <v>26712128566</v>
      </c>
      <c r="C422" s="10">
        <f ca="1">TODAY()-1143</f>
        <v>43078</v>
      </c>
      <c r="D422" s="10" t="s">
        <v>3384</v>
      </c>
      <c r="E422" s="12" t="s">
        <v>3431</v>
      </c>
      <c r="F422" s="16">
        <v>475000</v>
      </c>
    </row>
    <row r="423" spans="1:6" x14ac:dyDescent="0.2">
      <c r="A423" s="8" t="s">
        <v>990</v>
      </c>
      <c r="B423" s="9">
        <v>26310094290</v>
      </c>
      <c r="C423" s="10">
        <f ca="1">TODAY()-4517</f>
        <v>39704</v>
      </c>
      <c r="D423" s="10" t="s">
        <v>3385</v>
      </c>
      <c r="E423" s="12" t="s">
        <v>3478</v>
      </c>
      <c r="F423" s="16">
        <v>415000</v>
      </c>
    </row>
    <row r="424" spans="1:6" x14ac:dyDescent="0.2">
      <c r="A424" s="8" t="s">
        <v>450</v>
      </c>
      <c r="B424" s="9">
        <v>28112019620</v>
      </c>
      <c r="C424" s="10">
        <f ca="1">TODAY()-4082</f>
        <v>40139</v>
      </c>
      <c r="D424" s="10" t="s">
        <v>2291</v>
      </c>
      <c r="E424" s="12" t="s">
        <v>3428</v>
      </c>
      <c r="F424" s="16">
        <v>390000</v>
      </c>
    </row>
    <row r="425" spans="1:6" x14ac:dyDescent="0.2">
      <c r="A425" s="8" t="s">
        <v>1705</v>
      </c>
      <c r="B425" s="9">
        <v>28906204185</v>
      </c>
      <c r="C425" s="10">
        <f ca="1">TODAY()-2783</f>
        <v>41438</v>
      </c>
      <c r="D425" s="10" t="s">
        <v>3380</v>
      </c>
      <c r="E425" s="12" t="s">
        <v>3472</v>
      </c>
      <c r="F425" s="16">
        <v>185000</v>
      </c>
    </row>
    <row r="426" spans="1:6" x14ac:dyDescent="0.2">
      <c r="A426" s="8" t="s">
        <v>1035</v>
      </c>
      <c r="B426" s="9">
        <v>17003142228</v>
      </c>
      <c r="C426" s="10">
        <f ca="1">TODAY()-678</f>
        <v>43543</v>
      </c>
      <c r="D426" s="10" t="s">
        <v>2298</v>
      </c>
      <c r="E426" s="12" t="s">
        <v>2298</v>
      </c>
      <c r="F426" s="16">
        <v>410000</v>
      </c>
    </row>
    <row r="427" spans="1:6" x14ac:dyDescent="0.2">
      <c r="A427" s="8" t="s">
        <v>1595</v>
      </c>
      <c r="B427" s="9">
        <v>28501194417</v>
      </c>
      <c r="C427" s="10">
        <f ca="1">TODAY()-1555</f>
        <v>42666</v>
      </c>
      <c r="D427" s="10" t="s">
        <v>2287</v>
      </c>
      <c r="E427" s="12" t="s">
        <v>3480</v>
      </c>
      <c r="F427" s="16">
        <v>275000</v>
      </c>
    </row>
    <row r="428" spans="1:6" x14ac:dyDescent="0.2">
      <c r="A428" s="8" t="s">
        <v>2270</v>
      </c>
      <c r="B428" s="9">
        <v>26012053743</v>
      </c>
      <c r="C428" s="10">
        <f ca="1">TODAY()-2854</f>
        <v>41367</v>
      </c>
      <c r="D428" s="10" t="s">
        <v>2304</v>
      </c>
      <c r="E428" s="12" t="s">
        <v>3459</v>
      </c>
      <c r="F428" s="16">
        <v>315000</v>
      </c>
    </row>
    <row r="429" spans="1:6" x14ac:dyDescent="0.2">
      <c r="A429" s="8" t="s">
        <v>807</v>
      </c>
      <c r="B429" s="9">
        <v>18202242607</v>
      </c>
      <c r="C429" s="10">
        <f ca="1">TODAY()-2121</f>
        <v>42100</v>
      </c>
      <c r="D429" s="10" t="s">
        <v>2299</v>
      </c>
      <c r="E429" s="12" t="s">
        <v>3443</v>
      </c>
      <c r="F429" s="16">
        <v>300000</v>
      </c>
    </row>
    <row r="430" spans="1:6" x14ac:dyDescent="0.2">
      <c r="A430" s="8" t="s">
        <v>605</v>
      </c>
      <c r="B430" s="9">
        <v>27705103424</v>
      </c>
      <c r="C430" s="10">
        <f ca="1">TODAY()-675</f>
        <v>43546</v>
      </c>
      <c r="D430" s="10" t="s">
        <v>3379</v>
      </c>
      <c r="E430" s="12" t="s">
        <v>3510</v>
      </c>
      <c r="F430" s="16">
        <v>440000</v>
      </c>
    </row>
    <row r="431" spans="1:6" x14ac:dyDescent="0.2">
      <c r="A431" s="8" t="s">
        <v>1689</v>
      </c>
      <c r="B431" s="9">
        <v>17809157798</v>
      </c>
      <c r="C431" s="10">
        <f ca="1">TODAY()-3594</f>
        <v>40627</v>
      </c>
      <c r="D431" s="10" t="s">
        <v>2296</v>
      </c>
      <c r="E431" s="12" t="s">
        <v>3454</v>
      </c>
      <c r="F431" s="16">
        <v>275000</v>
      </c>
    </row>
    <row r="432" spans="1:6" x14ac:dyDescent="0.2">
      <c r="A432" s="8" t="s">
        <v>2144</v>
      </c>
      <c r="B432" s="9">
        <v>28306039313</v>
      </c>
      <c r="C432" s="10">
        <f ca="1">TODAY()-38</f>
        <v>44183</v>
      </c>
      <c r="D432" s="10" t="s">
        <v>3394</v>
      </c>
      <c r="E432" s="12" t="s">
        <v>3438</v>
      </c>
      <c r="F432" s="16">
        <v>395000</v>
      </c>
    </row>
    <row r="433" spans="1:6" x14ac:dyDescent="0.2">
      <c r="A433" s="8" t="s">
        <v>514</v>
      </c>
      <c r="B433" s="9">
        <v>28205093132</v>
      </c>
      <c r="C433" s="10">
        <f ca="1">TODAY()-115</f>
        <v>44106</v>
      </c>
      <c r="D433" s="10" t="s">
        <v>3393</v>
      </c>
      <c r="E433" s="12" t="s">
        <v>3478</v>
      </c>
      <c r="F433" s="16">
        <v>235000</v>
      </c>
    </row>
    <row r="434" spans="1:6" x14ac:dyDescent="0.2">
      <c r="A434" s="8" t="s">
        <v>1758</v>
      </c>
      <c r="B434" s="9">
        <v>27606054343</v>
      </c>
      <c r="C434" s="10">
        <f ca="1">TODAY()-1935</f>
        <v>42286</v>
      </c>
      <c r="D434" s="10" t="s">
        <v>3390</v>
      </c>
      <c r="E434" s="12" t="s">
        <v>3451</v>
      </c>
      <c r="F434" s="16">
        <v>320000</v>
      </c>
    </row>
    <row r="435" spans="1:6" x14ac:dyDescent="0.2">
      <c r="A435" s="8" t="s">
        <v>819</v>
      </c>
      <c r="B435" s="9">
        <v>18205166106</v>
      </c>
      <c r="C435" s="10">
        <f ca="1">TODAY()-178</f>
        <v>44043</v>
      </c>
      <c r="D435" s="10" t="s">
        <v>3384</v>
      </c>
      <c r="E435" s="12" t="s">
        <v>3445</v>
      </c>
      <c r="F435" s="16">
        <v>335000</v>
      </c>
    </row>
    <row r="436" spans="1:6" x14ac:dyDescent="0.2">
      <c r="A436" s="8" t="s">
        <v>672</v>
      </c>
      <c r="B436" s="9">
        <v>17912101274</v>
      </c>
      <c r="C436" s="10">
        <f ca="1">TODAY()-887</f>
        <v>43334</v>
      </c>
      <c r="D436" s="10" t="s">
        <v>2304</v>
      </c>
      <c r="E436" s="12" t="s">
        <v>3548</v>
      </c>
      <c r="F436" s="16">
        <v>260000</v>
      </c>
    </row>
    <row r="437" spans="1:6" x14ac:dyDescent="0.2">
      <c r="A437" s="8" t="s">
        <v>1388</v>
      </c>
      <c r="B437" s="9">
        <v>28607204407</v>
      </c>
      <c r="C437" s="10">
        <f ca="1">TODAY()-1816</f>
        <v>42405</v>
      </c>
      <c r="D437" s="10" t="s">
        <v>3382</v>
      </c>
      <c r="E437" s="12" t="s">
        <v>3497</v>
      </c>
      <c r="F437" s="16">
        <v>240000</v>
      </c>
    </row>
    <row r="438" spans="1:6" x14ac:dyDescent="0.2">
      <c r="A438" s="8" t="s">
        <v>1327</v>
      </c>
      <c r="B438" s="9">
        <v>17206026974</v>
      </c>
      <c r="C438" s="10">
        <f ca="1">TODAY()-3800</f>
        <v>40421</v>
      </c>
      <c r="D438" s="10" t="s">
        <v>3384</v>
      </c>
      <c r="E438" s="12" t="s">
        <v>3448</v>
      </c>
      <c r="F438" s="16">
        <v>465000</v>
      </c>
    </row>
    <row r="439" spans="1:6" x14ac:dyDescent="0.2">
      <c r="A439" s="8" t="s">
        <v>732</v>
      </c>
      <c r="B439" s="9">
        <v>18402065977</v>
      </c>
      <c r="C439" s="10">
        <f ca="1">TODAY()-3143</f>
        <v>41078</v>
      </c>
      <c r="D439" s="10" t="s">
        <v>3392</v>
      </c>
      <c r="E439" s="12" t="s">
        <v>3416</v>
      </c>
      <c r="F439" s="16">
        <v>240000</v>
      </c>
    </row>
    <row r="440" spans="1:6" x14ac:dyDescent="0.2">
      <c r="A440" s="8" t="s">
        <v>857</v>
      </c>
      <c r="B440" s="9">
        <v>18102226089</v>
      </c>
      <c r="C440" s="10">
        <f ca="1">TODAY()-1273</f>
        <v>42948</v>
      </c>
      <c r="D440" s="10" t="s">
        <v>3380</v>
      </c>
      <c r="E440" s="12" t="s">
        <v>3436</v>
      </c>
      <c r="F440" s="16">
        <v>350000</v>
      </c>
    </row>
    <row r="441" spans="1:6" x14ac:dyDescent="0.2">
      <c r="A441" s="8" t="s">
        <v>1718</v>
      </c>
      <c r="B441" s="9">
        <v>19009089389</v>
      </c>
      <c r="C441" s="10">
        <f ca="1">TODAY()-162</f>
        <v>44059</v>
      </c>
      <c r="D441" s="10" t="s">
        <v>2287</v>
      </c>
      <c r="E441" s="12" t="s">
        <v>2287</v>
      </c>
      <c r="F441" s="16">
        <v>340000</v>
      </c>
    </row>
    <row r="442" spans="1:6" x14ac:dyDescent="0.2">
      <c r="A442" s="8" t="s">
        <v>1149</v>
      </c>
      <c r="B442" s="9">
        <v>17608135116</v>
      </c>
      <c r="C442" s="10">
        <f ca="1">TODAY()-884</f>
        <v>43337</v>
      </c>
      <c r="D442" s="10" t="s">
        <v>3396</v>
      </c>
      <c r="E442" s="12" t="s">
        <v>3464</v>
      </c>
      <c r="F442" s="16">
        <v>430000</v>
      </c>
    </row>
    <row r="443" spans="1:6" x14ac:dyDescent="0.2">
      <c r="A443" s="8" t="s">
        <v>772</v>
      </c>
      <c r="B443" s="9">
        <v>28807147645</v>
      </c>
      <c r="C443" s="10">
        <f ca="1">TODAY()-3778</f>
        <v>40443</v>
      </c>
      <c r="D443" s="10" t="s">
        <v>3399</v>
      </c>
      <c r="E443" s="12" t="s">
        <v>3558</v>
      </c>
      <c r="F443" s="16">
        <v>245000</v>
      </c>
    </row>
    <row r="444" spans="1:6" x14ac:dyDescent="0.2">
      <c r="A444" s="8" t="s">
        <v>2064</v>
      </c>
      <c r="B444" s="9">
        <v>17504242403</v>
      </c>
      <c r="C444" s="10">
        <f ca="1">TODAY()-3668</f>
        <v>40553</v>
      </c>
      <c r="D444" s="10" t="s">
        <v>3396</v>
      </c>
      <c r="E444" s="12" t="s">
        <v>3434</v>
      </c>
      <c r="F444" s="16">
        <v>470000</v>
      </c>
    </row>
    <row r="445" spans="1:6" x14ac:dyDescent="0.2">
      <c r="A445" s="8" t="s">
        <v>2221</v>
      </c>
      <c r="B445" s="9">
        <v>16311062370</v>
      </c>
      <c r="C445" s="10">
        <f ca="1">TODAY()-4216</f>
        <v>40005</v>
      </c>
      <c r="D445" s="10" t="s">
        <v>2287</v>
      </c>
      <c r="E445" s="12" t="s">
        <v>3431</v>
      </c>
      <c r="F445" s="16">
        <v>340000</v>
      </c>
    </row>
    <row r="446" spans="1:6" x14ac:dyDescent="0.2">
      <c r="A446" s="8" t="s">
        <v>1424</v>
      </c>
      <c r="B446" s="9">
        <v>26708114788</v>
      </c>
      <c r="C446" s="10">
        <f ca="1">TODAY()-2125</f>
        <v>42096</v>
      </c>
      <c r="D446" s="10" t="s">
        <v>3392</v>
      </c>
      <c r="E446" s="12" t="s">
        <v>3392</v>
      </c>
      <c r="F446" s="16">
        <v>430000</v>
      </c>
    </row>
    <row r="447" spans="1:6" x14ac:dyDescent="0.2">
      <c r="A447" s="8" t="s">
        <v>773</v>
      </c>
      <c r="B447" s="9">
        <v>26110082531</v>
      </c>
      <c r="C447" s="10">
        <f ca="1">TODAY()-657</f>
        <v>43564</v>
      </c>
      <c r="D447" s="10" t="s">
        <v>3383</v>
      </c>
      <c r="E447" s="12" t="s">
        <v>3555</v>
      </c>
      <c r="F447" s="16">
        <v>395000</v>
      </c>
    </row>
    <row r="448" spans="1:6" x14ac:dyDescent="0.2">
      <c r="A448" s="8" t="s">
        <v>612</v>
      </c>
      <c r="B448" s="9">
        <v>18311249107</v>
      </c>
      <c r="C448" s="10">
        <f ca="1">TODAY()-2246</f>
        <v>41975</v>
      </c>
      <c r="D448" s="10" t="s">
        <v>3401</v>
      </c>
      <c r="E448" s="12" t="s">
        <v>3520</v>
      </c>
      <c r="F448" s="16">
        <v>270000</v>
      </c>
    </row>
    <row r="449" spans="1:6" x14ac:dyDescent="0.2">
      <c r="A449" s="8" t="s">
        <v>869</v>
      </c>
      <c r="B449" s="9">
        <v>18610226807</v>
      </c>
      <c r="C449" s="10">
        <f ca="1">TODAY()-3435</f>
        <v>40786</v>
      </c>
      <c r="D449" s="10" t="s">
        <v>2287</v>
      </c>
      <c r="E449" s="12" t="s">
        <v>3452</v>
      </c>
      <c r="F449" s="16">
        <v>270000</v>
      </c>
    </row>
    <row r="450" spans="1:6" x14ac:dyDescent="0.2">
      <c r="A450" s="8" t="s">
        <v>542</v>
      </c>
      <c r="B450" s="9">
        <v>28105019439</v>
      </c>
      <c r="C450" s="10">
        <f ca="1">TODAY()-4875</f>
        <v>39346</v>
      </c>
      <c r="D450" s="10" t="s">
        <v>2288</v>
      </c>
      <c r="E450" s="12" t="s">
        <v>3515</v>
      </c>
      <c r="F450" s="16">
        <v>365000</v>
      </c>
    </row>
    <row r="451" spans="1:6" x14ac:dyDescent="0.2">
      <c r="A451" s="8" t="s">
        <v>1993</v>
      </c>
      <c r="B451" s="9">
        <v>27112288162</v>
      </c>
      <c r="C451" s="10">
        <f ca="1">TODAY()-1152</f>
        <v>43069</v>
      </c>
      <c r="D451" s="10" t="s">
        <v>3396</v>
      </c>
      <c r="E451" s="12" t="s">
        <v>3529</v>
      </c>
      <c r="F451" s="16">
        <v>175000</v>
      </c>
    </row>
    <row r="452" spans="1:6" x14ac:dyDescent="0.2">
      <c r="A452" s="8" t="s">
        <v>1812</v>
      </c>
      <c r="B452" s="9">
        <v>16508108507</v>
      </c>
      <c r="C452" s="10">
        <f ca="1">TODAY()-2723</f>
        <v>41498</v>
      </c>
      <c r="D452" s="10" t="s">
        <v>3398</v>
      </c>
      <c r="E452" s="12" t="s">
        <v>3460</v>
      </c>
      <c r="F452" s="16">
        <v>265000</v>
      </c>
    </row>
    <row r="453" spans="1:6" x14ac:dyDescent="0.2">
      <c r="A453" s="8" t="s">
        <v>1977</v>
      </c>
      <c r="B453" s="9">
        <v>17502054900</v>
      </c>
      <c r="C453" s="10">
        <f ca="1">TODAY()-3113</f>
        <v>41108</v>
      </c>
      <c r="D453" s="10" t="s">
        <v>3397</v>
      </c>
      <c r="E453" s="12" t="s">
        <v>3460</v>
      </c>
      <c r="F453" s="16">
        <v>395000</v>
      </c>
    </row>
    <row r="454" spans="1:6" x14ac:dyDescent="0.2">
      <c r="A454" s="8" t="s">
        <v>1222</v>
      </c>
      <c r="B454" s="9">
        <v>17612119442</v>
      </c>
      <c r="C454" s="10">
        <f ca="1">TODAY()-1080</f>
        <v>43141</v>
      </c>
      <c r="D454" s="10" t="s">
        <v>2288</v>
      </c>
      <c r="E454" s="12" t="s">
        <v>3456</v>
      </c>
      <c r="F454" s="16">
        <v>270000</v>
      </c>
    </row>
    <row r="455" spans="1:6" x14ac:dyDescent="0.2">
      <c r="A455" s="8" t="s">
        <v>1186</v>
      </c>
      <c r="B455" s="9">
        <v>27602284370</v>
      </c>
      <c r="C455" s="10">
        <f ca="1">TODAY()-1299</f>
        <v>42922</v>
      </c>
      <c r="D455" s="10" t="s">
        <v>2291</v>
      </c>
      <c r="E455" s="12" t="s">
        <v>3419</v>
      </c>
      <c r="F455" s="16">
        <v>415000</v>
      </c>
    </row>
    <row r="456" spans="1:6" x14ac:dyDescent="0.2">
      <c r="A456" s="8" t="s">
        <v>1049</v>
      </c>
      <c r="B456" s="9">
        <v>28701049557</v>
      </c>
      <c r="C456" s="10">
        <f ca="1">TODAY()-694</f>
        <v>43527</v>
      </c>
      <c r="D456" s="10" t="s">
        <v>3378</v>
      </c>
      <c r="E456" s="12" t="s">
        <v>3422</v>
      </c>
      <c r="F456" s="16">
        <v>215000</v>
      </c>
    </row>
    <row r="457" spans="1:6" x14ac:dyDescent="0.2">
      <c r="A457" s="8" t="s">
        <v>536</v>
      </c>
      <c r="B457" s="9">
        <v>18608205386</v>
      </c>
      <c r="C457" s="10">
        <f ca="1">TODAY()-4980</f>
        <v>39241</v>
      </c>
      <c r="D457" s="10" t="s">
        <v>3386</v>
      </c>
      <c r="E457" s="12" t="s">
        <v>3495</v>
      </c>
      <c r="F457" s="16">
        <v>415000</v>
      </c>
    </row>
    <row r="458" spans="1:6" x14ac:dyDescent="0.2">
      <c r="A458" s="8" t="s">
        <v>2047</v>
      </c>
      <c r="B458" s="9">
        <v>27809116959</v>
      </c>
      <c r="C458" s="10">
        <f ca="1">TODAY()-2670</f>
        <v>41551</v>
      </c>
      <c r="D458" s="10" t="s">
        <v>3399</v>
      </c>
      <c r="E458" s="12" t="s">
        <v>3440</v>
      </c>
      <c r="F458" s="16">
        <v>205000</v>
      </c>
    </row>
    <row r="459" spans="1:6" x14ac:dyDescent="0.2">
      <c r="A459" s="8" t="s">
        <v>2222</v>
      </c>
      <c r="B459" s="9">
        <v>28702145976</v>
      </c>
      <c r="C459" s="10">
        <f ca="1">TODAY()-3293</f>
        <v>40928</v>
      </c>
      <c r="D459" s="10" t="s">
        <v>3389</v>
      </c>
      <c r="E459" s="12" t="s">
        <v>3422</v>
      </c>
      <c r="F459" s="16">
        <v>205000</v>
      </c>
    </row>
    <row r="460" spans="1:6" x14ac:dyDescent="0.2">
      <c r="A460" s="8" t="s">
        <v>827</v>
      </c>
      <c r="B460" s="9">
        <v>26404223977</v>
      </c>
      <c r="C460" s="10">
        <f ca="1">TODAY()-3295</f>
        <v>40926</v>
      </c>
      <c r="D460" s="10" t="s">
        <v>3402</v>
      </c>
      <c r="E460" s="12" t="s">
        <v>3414</v>
      </c>
      <c r="F460" s="16">
        <v>320000</v>
      </c>
    </row>
    <row r="461" spans="1:6" x14ac:dyDescent="0.2">
      <c r="A461" s="8" t="s">
        <v>2216</v>
      </c>
      <c r="B461" s="9">
        <v>16302199333</v>
      </c>
      <c r="C461" s="10">
        <f ca="1">TODAY()-4674</f>
        <v>39547</v>
      </c>
      <c r="D461" s="10" t="s">
        <v>3400</v>
      </c>
      <c r="E461" s="12" t="s">
        <v>3561</v>
      </c>
      <c r="F461" s="16">
        <v>485000</v>
      </c>
    </row>
    <row r="462" spans="1:6" x14ac:dyDescent="0.2">
      <c r="A462" s="8" t="s">
        <v>1198</v>
      </c>
      <c r="B462" s="9">
        <v>27611058419</v>
      </c>
      <c r="C462" s="10">
        <f ca="1">TODAY()-1773</f>
        <v>42448</v>
      </c>
      <c r="D462" s="10" t="s">
        <v>2288</v>
      </c>
      <c r="E462" s="12" t="s">
        <v>3415</v>
      </c>
      <c r="F462" s="16">
        <v>425000</v>
      </c>
    </row>
    <row r="463" spans="1:6" x14ac:dyDescent="0.2">
      <c r="A463" s="8" t="s">
        <v>1445</v>
      </c>
      <c r="B463" s="9">
        <v>17808016724</v>
      </c>
      <c r="C463" s="10">
        <f ca="1">TODAY()-2396</f>
        <v>41825</v>
      </c>
      <c r="D463" s="10" t="s">
        <v>3392</v>
      </c>
      <c r="E463" s="12" t="s">
        <v>3392</v>
      </c>
      <c r="F463" s="16">
        <v>185000</v>
      </c>
    </row>
    <row r="464" spans="1:6" x14ac:dyDescent="0.2">
      <c r="A464" s="8" t="s">
        <v>539</v>
      </c>
      <c r="B464" s="9">
        <v>27908225931</v>
      </c>
      <c r="C464" s="10">
        <f ca="1">TODAY()-1898</f>
        <v>42323</v>
      </c>
      <c r="D464" s="10" t="s">
        <v>3398</v>
      </c>
      <c r="E464" s="12" t="s">
        <v>3551</v>
      </c>
      <c r="F464" s="16">
        <v>235000</v>
      </c>
    </row>
    <row r="465" spans="1:6" x14ac:dyDescent="0.2">
      <c r="A465" s="8" t="s">
        <v>1787</v>
      </c>
      <c r="B465" s="9">
        <v>26201098008</v>
      </c>
      <c r="C465" s="10">
        <f ca="1">TODAY()-2066</f>
        <v>42155</v>
      </c>
      <c r="D465" s="10" t="s">
        <v>2292</v>
      </c>
      <c r="E465" s="12" t="s">
        <v>3564</v>
      </c>
      <c r="F465" s="16">
        <v>290000</v>
      </c>
    </row>
    <row r="466" spans="1:6" x14ac:dyDescent="0.2">
      <c r="A466" s="8" t="s">
        <v>469</v>
      </c>
      <c r="B466" s="9">
        <v>17004041602</v>
      </c>
      <c r="C466" s="10">
        <f ca="1">TODAY()-852</f>
        <v>43369</v>
      </c>
      <c r="D466" s="10" t="s">
        <v>2300</v>
      </c>
      <c r="E466" s="12" t="s">
        <v>3509</v>
      </c>
      <c r="F466" s="16">
        <v>455000</v>
      </c>
    </row>
    <row r="467" spans="1:6" x14ac:dyDescent="0.2">
      <c r="A467" s="8" t="s">
        <v>1519</v>
      </c>
      <c r="B467" s="9">
        <v>17702257093</v>
      </c>
      <c r="C467" s="10">
        <f ca="1">TODAY()-461</f>
        <v>43760</v>
      </c>
      <c r="D467" s="10" t="s">
        <v>3388</v>
      </c>
      <c r="E467" s="12" t="s">
        <v>3454</v>
      </c>
      <c r="F467" s="16">
        <v>405000</v>
      </c>
    </row>
    <row r="468" spans="1:6" x14ac:dyDescent="0.2">
      <c r="A468" s="8" t="s">
        <v>1156</v>
      </c>
      <c r="B468" s="9">
        <v>28409219564</v>
      </c>
      <c r="C468" s="10">
        <f ca="1">TODAY()-848</f>
        <v>43373</v>
      </c>
      <c r="D468" s="10" t="s">
        <v>2294</v>
      </c>
      <c r="E468" s="12" t="s">
        <v>3550</v>
      </c>
      <c r="F468" s="16">
        <v>245000</v>
      </c>
    </row>
    <row r="469" spans="1:6" x14ac:dyDescent="0.2">
      <c r="A469" s="8" t="s">
        <v>1241</v>
      </c>
      <c r="B469" s="9">
        <v>29002256572</v>
      </c>
      <c r="C469" s="10">
        <f ca="1">TODAY()-3095</f>
        <v>41126</v>
      </c>
      <c r="D469" s="10" t="s">
        <v>2292</v>
      </c>
      <c r="E469" s="12" t="s">
        <v>3490</v>
      </c>
      <c r="F469" s="16">
        <v>180000</v>
      </c>
    </row>
    <row r="470" spans="1:6" x14ac:dyDescent="0.2">
      <c r="A470" s="8" t="s">
        <v>1563</v>
      </c>
      <c r="B470" s="9">
        <v>27009014876</v>
      </c>
      <c r="C470" s="10">
        <f ca="1">TODAY()-2094</f>
        <v>42127</v>
      </c>
      <c r="D470" s="10" t="s">
        <v>2289</v>
      </c>
      <c r="E470" s="12" t="s">
        <v>3453</v>
      </c>
      <c r="F470" s="16">
        <v>325000</v>
      </c>
    </row>
    <row r="471" spans="1:6" x14ac:dyDescent="0.2">
      <c r="A471" s="8" t="s">
        <v>718</v>
      </c>
      <c r="B471" s="9">
        <v>18805117969</v>
      </c>
      <c r="C471" s="10">
        <f ca="1">TODAY()-1459</f>
        <v>42762</v>
      </c>
      <c r="D471" s="10" t="s">
        <v>2290</v>
      </c>
      <c r="E471" s="12" t="s">
        <v>3452</v>
      </c>
      <c r="F471" s="16">
        <v>255000</v>
      </c>
    </row>
    <row r="472" spans="1:6" x14ac:dyDescent="0.2">
      <c r="A472" s="8" t="s">
        <v>1955</v>
      </c>
      <c r="B472" s="9">
        <v>16209032015</v>
      </c>
      <c r="C472" s="10">
        <f ca="1">TODAY()-4409</f>
        <v>39812</v>
      </c>
      <c r="D472" s="10" t="s">
        <v>2296</v>
      </c>
      <c r="E472" s="12" t="s">
        <v>3454</v>
      </c>
      <c r="F472" s="16">
        <v>330000</v>
      </c>
    </row>
    <row r="473" spans="1:6" x14ac:dyDescent="0.2">
      <c r="A473" s="8" t="s">
        <v>797</v>
      </c>
      <c r="B473" s="9">
        <v>18010106514</v>
      </c>
      <c r="C473" s="10">
        <f ca="1">TODAY()-384</f>
        <v>43837</v>
      </c>
      <c r="D473" s="10" t="s">
        <v>3389</v>
      </c>
      <c r="E473" s="12" t="s">
        <v>3415</v>
      </c>
      <c r="F473" s="16">
        <v>460000</v>
      </c>
    </row>
    <row r="474" spans="1:6" x14ac:dyDescent="0.2">
      <c r="A474" s="8" t="s">
        <v>1094</v>
      </c>
      <c r="B474" s="9">
        <v>16704283417</v>
      </c>
      <c r="C474" s="10">
        <f ca="1">TODAY()-2227</f>
        <v>41994</v>
      </c>
      <c r="D474" s="10" t="s">
        <v>2298</v>
      </c>
      <c r="E474" s="12" t="s">
        <v>2298</v>
      </c>
      <c r="F474" s="16">
        <v>310000</v>
      </c>
    </row>
    <row r="475" spans="1:6" x14ac:dyDescent="0.2">
      <c r="A475" s="8" t="s">
        <v>814</v>
      </c>
      <c r="B475" s="9">
        <v>18509113650</v>
      </c>
      <c r="C475" s="10">
        <f ca="1">TODAY()-383</f>
        <v>43838</v>
      </c>
      <c r="D475" s="10" t="s">
        <v>3393</v>
      </c>
      <c r="E475" s="12" t="s">
        <v>3479</v>
      </c>
      <c r="F475" s="16">
        <v>320000</v>
      </c>
    </row>
    <row r="476" spans="1:6" x14ac:dyDescent="0.2">
      <c r="A476" s="8" t="s">
        <v>1089</v>
      </c>
      <c r="B476" s="9">
        <v>16106027017</v>
      </c>
      <c r="C476" s="10">
        <f ca="1">TODAY()-4869</f>
        <v>39352</v>
      </c>
      <c r="D476" s="10" t="s">
        <v>3401</v>
      </c>
      <c r="E476" s="12" t="s">
        <v>3401</v>
      </c>
      <c r="F476" s="16">
        <v>390000</v>
      </c>
    </row>
    <row r="477" spans="1:6" x14ac:dyDescent="0.2">
      <c r="A477" s="8" t="s">
        <v>1478</v>
      </c>
      <c r="B477" s="9">
        <v>18403264048</v>
      </c>
      <c r="C477" s="10">
        <f ca="1">TODAY()-1197</f>
        <v>43024</v>
      </c>
      <c r="D477" s="10" t="s">
        <v>3379</v>
      </c>
      <c r="E477" s="12" t="s">
        <v>3445</v>
      </c>
      <c r="F477" s="16">
        <v>410000</v>
      </c>
    </row>
    <row r="478" spans="1:6" x14ac:dyDescent="0.2">
      <c r="A478" s="8" t="s">
        <v>1271</v>
      </c>
      <c r="B478" s="9">
        <v>16808069776</v>
      </c>
      <c r="C478" s="10">
        <f ca="1">TODAY()-2908</f>
        <v>41313</v>
      </c>
      <c r="D478" s="10" t="s">
        <v>2287</v>
      </c>
      <c r="E478" s="12" t="s">
        <v>2287</v>
      </c>
      <c r="F478" s="16">
        <v>300000</v>
      </c>
    </row>
    <row r="479" spans="1:6" x14ac:dyDescent="0.2">
      <c r="A479" s="8" t="s">
        <v>1615</v>
      </c>
      <c r="B479" s="9">
        <v>18110277117</v>
      </c>
      <c r="C479" s="10">
        <f ca="1">TODAY()-4733</f>
        <v>39488</v>
      </c>
      <c r="D479" s="10" t="s">
        <v>3393</v>
      </c>
      <c r="E479" s="12" t="s">
        <v>3393</v>
      </c>
      <c r="F479" s="16">
        <v>365000</v>
      </c>
    </row>
    <row r="480" spans="1:6" x14ac:dyDescent="0.2">
      <c r="A480" s="8" t="s">
        <v>1745</v>
      </c>
      <c r="B480" s="9">
        <v>18807043578</v>
      </c>
      <c r="C480" s="10">
        <f ca="1">TODAY()-1651</f>
        <v>42570</v>
      </c>
      <c r="D480" s="10" t="s">
        <v>3385</v>
      </c>
      <c r="E480" s="12" t="s">
        <v>3414</v>
      </c>
      <c r="F480" s="16">
        <v>220000</v>
      </c>
    </row>
    <row r="481" spans="1:6" x14ac:dyDescent="0.2">
      <c r="A481" s="8" t="s">
        <v>1774</v>
      </c>
      <c r="B481" s="9">
        <v>28201234587</v>
      </c>
      <c r="C481" s="10">
        <f ca="1">TODAY()-3976</f>
        <v>40245</v>
      </c>
      <c r="D481" s="10" t="s">
        <v>3379</v>
      </c>
      <c r="E481" s="12" t="s">
        <v>3452</v>
      </c>
      <c r="F481" s="16">
        <v>450000</v>
      </c>
    </row>
    <row r="482" spans="1:6" x14ac:dyDescent="0.2">
      <c r="A482" s="8" t="s">
        <v>2118</v>
      </c>
      <c r="B482" s="9">
        <v>18710032525</v>
      </c>
      <c r="C482" s="10">
        <f ca="1">TODAY()-1880</f>
        <v>42341</v>
      </c>
      <c r="D482" s="10" t="s">
        <v>2300</v>
      </c>
      <c r="E482" s="12" t="s">
        <v>2300</v>
      </c>
      <c r="F482" s="16">
        <v>495000</v>
      </c>
    </row>
    <row r="483" spans="1:6" x14ac:dyDescent="0.2">
      <c r="A483" s="8" t="s">
        <v>1208</v>
      </c>
      <c r="B483" s="9">
        <v>18612031683</v>
      </c>
      <c r="C483" s="10">
        <f ca="1">TODAY()-395</f>
        <v>43826</v>
      </c>
      <c r="D483" s="10" t="s">
        <v>2288</v>
      </c>
      <c r="E483" s="12" t="s">
        <v>3427</v>
      </c>
      <c r="F483" s="16">
        <v>180000</v>
      </c>
    </row>
    <row r="484" spans="1:6" x14ac:dyDescent="0.2">
      <c r="A484" s="8" t="s">
        <v>638</v>
      </c>
      <c r="B484" s="9">
        <v>28708256284</v>
      </c>
      <c r="C484" s="10">
        <f ca="1">TODAY()-1847</f>
        <v>42374</v>
      </c>
      <c r="D484" s="10" t="s">
        <v>2286</v>
      </c>
      <c r="E484" s="12" t="s">
        <v>3560</v>
      </c>
      <c r="F484" s="16">
        <v>235000</v>
      </c>
    </row>
    <row r="485" spans="1:6" x14ac:dyDescent="0.2">
      <c r="A485" s="8" t="s">
        <v>2162</v>
      </c>
      <c r="B485" s="9">
        <v>28408074507</v>
      </c>
      <c r="C485" s="10">
        <f ca="1">TODAY()-3986</f>
        <v>40235</v>
      </c>
      <c r="D485" s="10" t="s">
        <v>3384</v>
      </c>
      <c r="E485" s="12" t="s">
        <v>3412</v>
      </c>
      <c r="F485" s="16">
        <v>465000</v>
      </c>
    </row>
    <row r="486" spans="1:6" x14ac:dyDescent="0.2">
      <c r="A486" s="8" t="s">
        <v>1667</v>
      </c>
      <c r="B486" s="9">
        <v>26207175016</v>
      </c>
      <c r="C486" s="10">
        <f ca="1">TODAY()-3703</f>
        <v>40518</v>
      </c>
      <c r="D486" s="10" t="s">
        <v>3382</v>
      </c>
      <c r="E486" s="12" t="s">
        <v>3422</v>
      </c>
      <c r="F486" s="16">
        <v>225000</v>
      </c>
    </row>
    <row r="487" spans="1:6" x14ac:dyDescent="0.2">
      <c r="A487" s="8" t="s">
        <v>1639</v>
      </c>
      <c r="B487" s="9">
        <v>18203271488</v>
      </c>
      <c r="C487" s="10">
        <f ca="1">TODAY()-4697</f>
        <v>39524</v>
      </c>
      <c r="D487" s="10" t="s">
        <v>3380</v>
      </c>
      <c r="E487" s="12" t="s">
        <v>3420</v>
      </c>
      <c r="F487" s="16">
        <v>495000</v>
      </c>
    </row>
    <row r="488" spans="1:6" x14ac:dyDescent="0.2">
      <c r="A488" s="8" t="s">
        <v>1326</v>
      </c>
      <c r="B488" s="9">
        <v>28403262301</v>
      </c>
      <c r="C488" s="10">
        <f ca="1">TODAY()-4433</f>
        <v>39788</v>
      </c>
      <c r="D488" s="10" t="s">
        <v>3393</v>
      </c>
      <c r="E488" s="12" t="s">
        <v>3473</v>
      </c>
      <c r="F488" s="16">
        <v>210000</v>
      </c>
    </row>
    <row r="489" spans="1:6" x14ac:dyDescent="0.2">
      <c r="A489" s="8" t="s">
        <v>2202</v>
      </c>
      <c r="B489" s="9">
        <v>16410082791</v>
      </c>
      <c r="C489" s="10">
        <f ca="1">TODAY()-3568</f>
        <v>40653</v>
      </c>
      <c r="D489" s="10" t="s">
        <v>3389</v>
      </c>
      <c r="E489" s="12" t="s">
        <v>3389</v>
      </c>
      <c r="F489" s="16">
        <v>445000</v>
      </c>
    </row>
    <row r="490" spans="1:6" x14ac:dyDescent="0.2">
      <c r="A490" s="8" t="s">
        <v>1527</v>
      </c>
      <c r="B490" s="9">
        <v>17907161707</v>
      </c>
      <c r="C490" s="10">
        <f ca="1">TODAY()-2240</f>
        <v>41981</v>
      </c>
      <c r="D490" s="10" t="s">
        <v>2290</v>
      </c>
      <c r="E490" s="12" t="s">
        <v>3476</v>
      </c>
      <c r="F490" s="16">
        <v>200000</v>
      </c>
    </row>
    <row r="491" spans="1:6" x14ac:dyDescent="0.2">
      <c r="A491" s="8" t="s">
        <v>2007</v>
      </c>
      <c r="B491" s="9">
        <v>17607165104</v>
      </c>
      <c r="C491" s="10">
        <f ca="1">TODAY()-4257</f>
        <v>39964</v>
      </c>
      <c r="D491" s="10" t="s">
        <v>2291</v>
      </c>
      <c r="E491" s="12" t="s">
        <v>3481</v>
      </c>
      <c r="F491" s="16">
        <v>305000</v>
      </c>
    </row>
    <row r="492" spans="1:6" x14ac:dyDescent="0.2">
      <c r="A492" s="8" t="s">
        <v>862</v>
      </c>
      <c r="B492" s="9">
        <v>16804268077</v>
      </c>
      <c r="C492" s="10">
        <f ca="1">TODAY()-3023</f>
        <v>41198</v>
      </c>
      <c r="D492" s="10" t="s">
        <v>2285</v>
      </c>
      <c r="E492" s="12" t="s">
        <v>2285</v>
      </c>
      <c r="F492" s="16">
        <v>300000</v>
      </c>
    </row>
    <row r="493" spans="1:6" x14ac:dyDescent="0.2">
      <c r="A493" s="8" t="s">
        <v>1733</v>
      </c>
      <c r="B493" s="9">
        <v>18509122099</v>
      </c>
      <c r="C493" s="10">
        <f ca="1">TODAY()-3809</f>
        <v>40412</v>
      </c>
      <c r="D493" s="10" t="s">
        <v>3379</v>
      </c>
      <c r="E493" s="12" t="s">
        <v>3422</v>
      </c>
      <c r="F493" s="16">
        <v>180000</v>
      </c>
    </row>
    <row r="494" spans="1:6" x14ac:dyDescent="0.2">
      <c r="A494" s="8" t="s">
        <v>1760</v>
      </c>
      <c r="B494" s="9">
        <v>18708117210</v>
      </c>
      <c r="C494" s="10">
        <f ca="1">TODAY()-3796</f>
        <v>40425</v>
      </c>
      <c r="D494" s="10" t="s">
        <v>2298</v>
      </c>
      <c r="E494" s="12" t="s">
        <v>3545</v>
      </c>
      <c r="F494" s="16">
        <v>400000</v>
      </c>
    </row>
    <row r="495" spans="1:6" x14ac:dyDescent="0.2">
      <c r="A495" s="8" t="s">
        <v>604</v>
      </c>
      <c r="B495" s="9">
        <v>27706042681</v>
      </c>
      <c r="C495" s="10">
        <f ca="1">TODAY()-58</f>
        <v>44163</v>
      </c>
      <c r="D495" s="10" t="s">
        <v>3383</v>
      </c>
      <c r="E495" s="12" t="s">
        <v>3524</v>
      </c>
      <c r="F495" s="16">
        <v>265000</v>
      </c>
    </row>
    <row r="496" spans="1:6" x14ac:dyDescent="0.2">
      <c r="A496" s="8" t="s">
        <v>1399</v>
      </c>
      <c r="B496" s="9">
        <v>16203255728</v>
      </c>
      <c r="C496" s="10">
        <f ca="1">TODAY()-2945</f>
        <v>41276</v>
      </c>
      <c r="D496" s="10" t="s">
        <v>2293</v>
      </c>
      <c r="E496" s="12" t="s">
        <v>3450</v>
      </c>
      <c r="F496" s="16">
        <v>330000</v>
      </c>
    </row>
    <row r="497" spans="1:6" x14ac:dyDescent="0.2">
      <c r="A497" s="8" t="s">
        <v>992</v>
      </c>
      <c r="B497" s="9">
        <v>28801014544</v>
      </c>
      <c r="C497" s="10">
        <f ca="1">TODAY()-3825</f>
        <v>40396</v>
      </c>
      <c r="D497" s="10" t="s">
        <v>2300</v>
      </c>
      <c r="E497" s="12" t="s">
        <v>2300</v>
      </c>
      <c r="F497" s="16">
        <v>480000</v>
      </c>
    </row>
    <row r="498" spans="1:6" x14ac:dyDescent="0.2">
      <c r="A498" s="8" t="s">
        <v>1677</v>
      </c>
      <c r="B498" s="9">
        <v>18602235818</v>
      </c>
      <c r="C498" s="10">
        <f ca="1">TODAY()-3463</f>
        <v>40758</v>
      </c>
      <c r="D498" s="10" t="s">
        <v>2285</v>
      </c>
      <c r="E498" s="12" t="s">
        <v>3445</v>
      </c>
      <c r="F498" s="16">
        <v>265000</v>
      </c>
    </row>
    <row r="499" spans="1:6" x14ac:dyDescent="0.2">
      <c r="A499" s="8" t="s">
        <v>882</v>
      </c>
      <c r="B499" s="9">
        <v>28211264806</v>
      </c>
      <c r="C499" s="10">
        <f ca="1">TODAY()-4430</f>
        <v>39791</v>
      </c>
      <c r="D499" s="10" t="s">
        <v>3381</v>
      </c>
      <c r="E499" s="12" t="s">
        <v>3419</v>
      </c>
      <c r="F499" s="16">
        <v>440000</v>
      </c>
    </row>
    <row r="500" spans="1:6" x14ac:dyDescent="0.2">
      <c r="A500" s="8" t="s">
        <v>1643</v>
      </c>
      <c r="B500" s="9">
        <v>27804156488</v>
      </c>
      <c r="C500" s="10">
        <f ca="1">TODAY()-540</f>
        <v>43681</v>
      </c>
      <c r="D500" s="10" t="s">
        <v>3395</v>
      </c>
      <c r="E500" s="12" t="s">
        <v>3424</v>
      </c>
      <c r="F500" s="16">
        <v>365000</v>
      </c>
    </row>
    <row r="501" spans="1:6" x14ac:dyDescent="0.2">
      <c r="A501" s="8" t="s">
        <v>742</v>
      </c>
      <c r="B501" s="9">
        <v>18702114033</v>
      </c>
      <c r="C501" s="10">
        <f ca="1">TODAY()-1110</f>
        <v>43111</v>
      </c>
      <c r="D501" s="10" t="s">
        <v>2288</v>
      </c>
      <c r="E501" s="12" t="s">
        <v>3405</v>
      </c>
      <c r="F501" s="16">
        <v>235000</v>
      </c>
    </row>
    <row r="502" spans="1:6" x14ac:dyDescent="0.2">
      <c r="A502" s="8" t="s">
        <v>2062</v>
      </c>
      <c r="B502" s="9">
        <v>26202263726</v>
      </c>
      <c r="C502" s="10">
        <f ca="1">TODAY()-373</f>
        <v>43848</v>
      </c>
      <c r="D502" s="10" t="s">
        <v>3392</v>
      </c>
      <c r="E502" s="12" t="s">
        <v>3472</v>
      </c>
      <c r="F502" s="16">
        <v>195000</v>
      </c>
    </row>
    <row r="503" spans="1:6" x14ac:dyDescent="0.2">
      <c r="A503" s="8" t="s">
        <v>2169</v>
      </c>
      <c r="B503" s="9">
        <v>17805166782</v>
      </c>
      <c r="C503" s="10">
        <f ca="1">TODAY()-3110</f>
        <v>41111</v>
      </c>
      <c r="D503" s="10" t="s">
        <v>3395</v>
      </c>
      <c r="E503" s="12" t="s">
        <v>3545</v>
      </c>
      <c r="F503" s="16">
        <v>300000</v>
      </c>
    </row>
    <row r="504" spans="1:6" x14ac:dyDescent="0.2">
      <c r="A504" s="8" t="s">
        <v>2071</v>
      </c>
      <c r="B504" s="9">
        <v>17803199848</v>
      </c>
      <c r="C504" s="10">
        <f ca="1">TODAY()-4618</f>
        <v>39603</v>
      </c>
      <c r="D504" s="10" t="s">
        <v>3400</v>
      </c>
      <c r="E504" s="12" t="s">
        <v>3503</v>
      </c>
      <c r="F504" s="16">
        <v>325000</v>
      </c>
    </row>
    <row r="505" spans="1:6" x14ac:dyDescent="0.2">
      <c r="A505" s="8" t="s">
        <v>1640</v>
      </c>
      <c r="B505" s="9">
        <v>19008079485</v>
      </c>
      <c r="C505" s="10">
        <f ca="1">TODAY()-2535</f>
        <v>41686</v>
      </c>
      <c r="D505" s="10" t="s">
        <v>3382</v>
      </c>
      <c r="E505" s="12" t="s">
        <v>3430</v>
      </c>
      <c r="F505" s="16">
        <v>405000</v>
      </c>
    </row>
    <row r="506" spans="1:6" x14ac:dyDescent="0.2">
      <c r="A506" s="8" t="s">
        <v>1116</v>
      </c>
      <c r="B506" s="9">
        <v>17003187949</v>
      </c>
      <c r="C506" s="10">
        <f ca="1">TODAY()-3249</f>
        <v>40972</v>
      </c>
      <c r="D506" s="10" t="s">
        <v>2286</v>
      </c>
      <c r="E506" s="12" t="s">
        <v>3487</v>
      </c>
      <c r="F506" s="16">
        <v>385000</v>
      </c>
    </row>
    <row r="507" spans="1:6" x14ac:dyDescent="0.2">
      <c r="A507" s="8" t="s">
        <v>781</v>
      </c>
      <c r="B507" s="9">
        <v>17408063845</v>
      </c>
      <c r="C507" s="10">
        <f ca="1">TODAY()-4612</f>
        <v>39609</v>
      </c>
      <c r="D507" s="10" t="s">
        <v>3378</v>
      </c>
      <c r="E507" s="12" t="s">
        <v>3428</v>
      </c>
      <c r="F507" s="16">
        <v>480000</v>
      </c>
    </row>
    <row r="508" spans="1:6" x14ac:dyDescent="0.2">
      <c r="A508" s="8" t="s">
        <v>2140</v>
      </c>
      <c r="B508" s="9">
        <v>17703137452</v>
      </c>
      <c r="C508" s="10">
        <f ca="1">TODAY()-4399</f>
        <v>39822</v>
      </c>
      <c r="D508" s="10" t="s">
        <v>2297</v>
      </c>
      <c r="E508" s="12" t="s">
        <v>3467</v>
      </c>
      <c r="F508" s="16">
        <v>210000</v>
      </c>
    </row>
    <row r="509" spans="1:6" x14ac:dyDescent="0.2">
      <c r="A509" s="8" t="s">
        <v>1591</v>
      </c>
      <c r="B509" s="9">
        <v>16710252405</v>
      </c>
      <c r="C509" s="10">
        <f ca="1">TODAY()-1995</f>
        <v>42226</v>
      </c>
      <c r="D509" s="10" t="s">
        <v>3397</v>
      </c>
      <c r="E509" s="12" t="s">
        <v>3559</v>
      </c>
      <c r="F509" s="16">
        <v>495000</v>
      </c>
    </row>
    <row r="510" spans="1:6" x14ac:dyDescent="0.2">
      <c r="A510" s="8" t="s">
        <v>2232</v>
      </c>
      <c r="B510" s="9">
        <v>16210216207</v>
      </c>
      <c r="C510" s="10">
        <f ca="1">TODAY()-196</f>
        <v>44025</v>
      </c>
      <c r="D510" s="10" t="s">
        <v>3385</v>
      </c>
      <c r="E510" s="12" t="s">
        <v>3554</v>
      </c>
      <c r="F510" s="16">
        <v>360000</v>
      </c>
    </row>
    <row r="511" spans="1:6" x14ac:dyDescent="0.2">
      <c r="A511" s="8" t="s">
        <v>1234</v>
      </c>
      <c r="B511" s="9">
        <v>28011139696</v>
      </c>
      <c r="C511" s="10">
        <f ca="1">TODAY()-2257</f>
        <v>41964</v>
      </c>
      <c r="D511" s="10" t="s">
        <v>3388</v>
      </c>
      <c r="E511" s="12" t="s">
        <v>3388</v>
      </c>
      <c r="F511" s="16">
        <v>410000</v>
      </c>
    </row>
    <row r="512" spans="1:6" x14ac:dyDescent="0.2">
      <c r="A512" s="8" t="s">
        <v>1162</v>
      </c>
      <c r="B512" s="9">
        <v>18802116715</v>
      </c>
      <c r="C512" s="10">
        <f ca="1">TODAY()-694</f>
        <v>43527</v>
      </c>
      <c r="D512" s="10" t="s">
        <v>3393</v>
      </c>
      <c r="E512" s="12" t="s">
        <v>3545</v>
      </c>
      <c r="F512" s="16">
        <v>220000</v>
      </c>
    </row>
    <row r="513" spans="1:6" x14ac:dyDescent="0.2">
      <c r="A513" s="8" t="s">
        <v>1297</v>
      </c>
      <c r="B513" s="9">
        <v>27506088588</v>
      </c>
      <c r="C513" s="10">
        <f ca="1">TODAY()-3013</f>
        <v>41208</v>
      </c>
      <c r="D513" s="10" t="s">
        <v>3401</v>
      </c>
      <c r="E513" s="12" t="s">
        <v>3480</v>
      </c>
      <c r="F513" s="16">
        <v>475000</v>
      </c>
    </row>
    <row r="514" spans="1:6" x14ac:dyDescent="0.2">
      <c r="A514" s="8" t="s">
        <v>1284</v>
      </c>
      <c r="B514" s="9">
        <v>17310063194</v>
      </c>
      <c r="C514" s="10">
        <f ca="1">TODAY()-280</f>
        <v>43941</v>
      </c>
      <c r="D514" s="10" t="s">
        <v>3398</v>
      </c>
      <c r="E514" s="12" t="s">
        <v>3431</v>
      </c>
      <c r="F514" s="16">
        <v>290000</v>
      </c>
    </row>
    <row r="515" spans="1:6" x14ac:dyDescent="0.2">
      <c r="A515" s="8" t="s">
        <v>1279</v>
      </c>
      <c r="B515" s="9">
        <v>17307033143</v>
      </c>
      <c r="C515" s="10">
        <f ca="1">TODAY()-1368</f>
        <v>42853</v>
      </c>
      <c r="D515" s="10" t="s">
        <v>3388</v>
      </c>
      <c r="E515" s="12" t="s">
        <v>3534</v>
      </c>
      <c r="F515" s="16">
        <v>210000</v>
      </c>
    </row>
    <row r="516" spans="1:6" x14ac:dyDescent="0.2">
      <c r="A516" s="8" t="s">
        <v>1748</v>
      </c>
      <c r="B516" s="9">
        <v>26009034954</v>
      </c>
      <c r="C516" s="10">
        <f ca="1">TODAY()-3178</f>
        <v>41043</v>
      </c>
      <c r="D516" s="10" t="s">
        <v>3399</v>
      </c>
      <c r="E516" s="12" t="s">
        <v>3514</v>
      </c>
      <c r="F516" s="16">
        <v>460000</v>
      </c>
    </row>
    <row r="517" spans="1:6" x14ac:dyDescent="0.2">
      <c r="A517" s="8" t="s">
        <v>444</v>
      </c>
      <c r="B517" s="9">
        <v>16503024789</v>
      </c>
      <c r="C517" s="10">
        <f ca="1">TODAY()-31</f>
        <v>44190</v>
      </c>
      <c r="D517" s="10" t="s">
        <v>3383</v>
      </c>
      <c r="E517" s="12" t="s">
        <v>3527</v>
      </c>
      <c r="F517" s="16">
        <v>255000</v>
      </c>
    </row>
    <row r="518" spans="1:6" x14ac:dyDescent="0.2">
      <c r="A518" s="8" t="s">
        <v>971</v>
      </c>
      <c r="B518" s="9">
        <v>26508014089</v>
      </c>
      <c r="C518" s="10">
        <f ca="1">TODAY()-460</f>
        <v>43761</v>
      </c>
      <c r="D518" s="10" t="s">
        <v>3390</v>
      </c>
      <c r="E518" s="12" t="s">
        <v>3550</v>
      </c>
      <c r="F518" s="16">
        <v>340000</v>
      </c>
    </row>
    <row r="519" spans="1:6" x14ac:dyDescent="0.2">
      <c r="A519" s="8" t="s">
        <v>694</v>
      </c>
      <c r="B519" s="9">
        <v>18010085862</v>
      </c>
      <c r="C519" s="10">
        <f ca="1">TODAY()-1916</f>
        <v>42305</v>
      </c>
      <c r="D519" s="10" t="s">
        <v>2287</v>
      </c>
      <c r="E519" s="12" t="s">
        <v>3437</v>
      </c>
      <c r="F519" s="16">
        <v>220000</v>
      </c>
    </row>
    <row r="520" spans="1:6" x14ac:dyDescent="0.2">
      <c r="A520" s="8" t="s">
        <v>1123</v>
      </c>
      <c r="B520" s="9">
        <v>17109183432</v>
      </c>
      <c r="C520" s="10">
        <f ca="1">TODAY()-2885</f>
        <v>41336</v>
      </c>
      <c r="D520" s="10" t="s">
        <v>2296</v>
      </c>
      <c r="E520" s="12" t="s">
        <v>3416</v>
      </c>
      <c r="F520" s="16">
        <v>380000</v>
      </c>
    </row>
    <row r="521" spans="1:6" x14ac:dyDescent="0.2">
      <c r="A521" s="8" t="s">
        <v>2038</v>
      </c>
      <c r="B521" s="9">
        <v>17708024961</v>
      </c>
      <c r="C521" s="10">
        <f ca="1">TODAY()-4201</f>
        <v>40020</v>
      </c>
      <c r="D521" s="10" t="s">
        <v>2301</v>
      </c>
      <c r="E521" s="12" t="s">
        <v>3478</v>
      </c>
      <c r="F521" s="16">
        <v>325000</v>
      </c>
    </row>
    <row r="522" spans="1:6" x14ac:dyDescent="0.2">
      <c r="A522" s="8" t="s">
        <v>1500</v>
      </c>
      <c r="B522" s="9">
        <v>18503099125</v>
      </c>
      <c r="C522" s="10">
        <f ca="1">TODAY()-1616</f>
        <v>42605</v>
      </c>
      <c r="D522" s="10" t="s">
        <v>3387</v>
      </c>
      <c r="E522" s="12" t="s">
        <v>3420</v>
      </c>
      <c r="F522" s="16">
        <v>270000</v>
      </c>
    </row>
    <row r="523" spans="1:6" x14ac:dyDescent="0.2">
      <c r="A523" s="8" t="s">
        <v>693</v>
      </c>
      <c r="B523" s="9">
        <v>28108225177</v>
      </c>
      <c r="C523" s="10">
        <f ca="1">TODAY()-3811</f>
        <v>40410</v>
      </c>
      <c r="D523" s="10" t="s">
        <v>3378</v>
      </c>
      <c r="E523" s="12" t="s">
        <v>3483</v>
      </c>
      <c r="F523" s="16">
        <v>395000</v>
      </c>
    </row>
    <row r="524" spans="1:6" x14ac:dyDescent="0.2">
      <c r="A524" s="8" t="s">
        <v>1686</v>
      </c>
      <c r="B524" s="9">
        <v>28306097175</v>
      </c>
      <c r="C524" s="10">
        <f ca="1">TODAY()-3487</f>
        <v>40734</v>
      </c>
      <c r="D524" s="10" t="s">
        <v>3400</v>
      </c>
      <c r="E524" s="12" t="s">
        <v>3443</v>
      </c>
      <c r="F524" s="16">
        <v>425000</v>
      </c>
    </row>
    <row r="525" spans="1:6" x14ac:dyDescent="0.2">
      <c r="A525" s="8" t="s">
        <v>2113</v>
      </c>
      <c r="B525" s="9">
        <v>17302175500</v>
      </c>
      <c r="C525" s="10">
        <f ca="1">TODAY()-1797</f>
        <v>42424</v>
      </c>
      <c r="D525" s="10" t="s">
        <v>3382</v>
      </c>
      <c r="E525" s="12" t="s">
        <v>3502</v>
      </c>
      <c r="F525" s="16">
        <v>375000</v>
      </c>
    </row>
    <row r="526" spans="1:6" x14ac:dyDescent="0.2">
      <c r="A526" s="8" t="s">
        <v>1589</v>
      </c>
      <c r="B526" s="9">
        <v>16907209818</v>
      </c>
      <c r="C526" s="10">
        <f ca="1">TODAY()-918</f>
        <v>43303</v>
      </c>
      <c r="D526" s="10" t="s">
        <v>3388</v>
      </c>
      <c r="E526" s="12" t="s">
        <v>3532</v>
      </c>
      <c r="F526" s="16">
        <v>440000</v>
      </c>
    </row>
    <row r="527" spans="1:6" x14ac:dyDescent="0.2">
      <c r="A527" s="8" t="s">
        <v>1053</v>
      </c>
      <c r="B527" s="9">
        <v>17703179859</v>
      </c>
      <c r="C527" s="10">
        <f ca="1">TODAY()-1805</f>
        <v>42416</v>
      </c>
      <c r="D527" s="10" t="s">
        <v>2288</v>
      </c>
      <c r="E527" s="12" t="s">
        <v>3562</v>
      </c>
      <c r="F527" s="16">
        <v>485000</v>
      </c>
    </row>
    <row r="528" spans="1:6" x14ac:dyDescent="0.2">
      <c r="A528" s="8" t="s">
        <v>923</v>
      </c>
      <c r="B528" s="9">
        <v>26407164486</v>
      </c>
      <c r="C528" s="10">
        <f ca="1">TODAY()-3978</f>
        <v>40243</v>
      </c>
      <c r="D528" s="10" t="s">
        <v>2303</v>
      </c>
      <c r="E528" s="12" t="s">
        <v>3513</v>
      </c>
      <c r="F528" s="16">
        <v>225000</v>
      </c>
    </row>
    <row r="529" spans="1:6" x14ac:dyDescent="0.2">
      <c r="A529" s="8" t="s">
        <v>661</v>
      </c>
      <c r="B529" s="9">
        <v>16811109332</v>
      </c>
      <c r="C529" s="10">
        <f ca="1">TODAY()-2901</f>
        <v>41320</v>
      </c>
      <c r="D529" s="10" t="s">
        <v>2285</v>
      </c>
      <c r="E529" s="12" t="s">
        <v>3470</v>
      </c>
      <c r="F529" s="16">
        <v>255000</v>
      </c>
    </row>
    <row r="530" spans="1:6" x14ac:dyDescent="0.2">
      <c r="A530" s="8" t="s">
        <v>1605</v>
      </c>
      <c r="B530" s="9">
        <v>16301124440</v>
      </c>
      <c r="C530" s="10">
        <f ca="1">TODAY()-3593</f>
        <v>40628</v>
      </c>
      <c r="D530" s="10" t="s">
        <v>3397</v>
      </c>
      <c r="E530" s="12" t="s">
        <v>3486</v>
      </c>
      <c r="F530" s="16">
        <v>185000</v>
      </c>
    </row>
    <row r="531" spans="1:6" x14ac:dyDescent="0.2">
      <c r="A531" s="8" t="s">
        <v>1817</v>
      </c>
      <c r="B531" s="9">
        <v>17105188896</v>
      </c>
      <c r="C531" s="10">
        <f ca="1">TODAY()-639</f>
        <v>43582</v>
      </c>
      <c r="D531" s="10" t="s">
        <v>2285</v>
      </c>
      <c r="E531" s="12" t="s">
        <v>3531</v>
      </c>
      <c r="F531" s="16">
        <v>185000</v>
      </c>
    </row>
    <row r="532" spans="1:6" x14ac:dyDescent="0.2">
      <c r="A532" s="8" t="s">
        <v>809</v>
      </c>
      <c r="B532" s="9">
        <v>18510072173</v>
      </c>
      <c r="C532" s="10">
        <f ca="1">TODAY()-4151</f>
        <v>40070</v>
      </c>
      <c r="D532" s="10" t="s">
        <v>2301</v>
      </c>
      <c r="E532" s="12" t="s">
        <v>3559</v>
      </c>
      <c r="F532" s="16">
        <v>315000</v>
      </c>
    </row>
    <row r="533" spans="1:6" x14ac:dyDescent="0.2">
      <c r="A533" s="8" t="s">
        <v>1946</v>
      </c>
      <c r="B533" s="9">
        <v>17806267321</v>
      </c>
      <c r="C533" s="10">
        <f ca="1">TODAY()-3184</f>
        <v>41037</v>
      </c>
      <c r="D533" s="10" t="s">
        <v>2296</v>
      </c>
      <c r="E533" s="12" t="s">
        <v>3524</v>
      </c>
      <c r="F533" s="16">
        <v>435000</v>
      </c>
    </row>
    <row r="534" spans="1:6" x14ac:dyDescent="0.2">
      <c r="A534" s="8" t="s">
        <v>438</v>
      </c>
      <c r="B534" s="9">
        <v>16102192230</v>
      </c>
      <c r="C534" s="10">
        <f ca="1">TODAY()-1578</f>
        <v>42643</v>
      </c>
      <c r="D534" s="10" t="s">
        <v>3392</v>
      </c>
      <c r="E534" s="12" t="s">
        <v>3500</v>
      </c>
      <c r="F534" s="16">
        <v>410000</v>
      </c>
    </row>
    <row r="535" spans="1:6" x14ac:dyDescent="0.2">
      <c r="A535" s="8" t="s">
        <v>884</v>
      </c>
      <c r="B535" s="9">
        <v>28101261302</v>
      </c>
      <c r="C535" s="10">
        <f ca="1">TODAY()-3220</f>
        <v>41001</v>
      </c>
      <c r="D535" s="10" t="s">
        <v>3379</v>
      </c>
      <c r="E535" s="12" t="s">
        <v>3533</v>
      </c>
      <c r="F535" s="16">
        <v>250000</v>
      </c>
    </row>
    <row r="536" spans="1:6" x14ac:dyDescent="0.2">
      <c r="A536" s="8" t="s">
        <v>1330</v>
      </c>
      <c r="B536" s="9">
        <v>26709283002</v>
      </c>
      <c r="C536" s="10">
        <f ca="1">TODAY()-4106</f>
        <v>40115</v>
      </c>
      <c r="D536" s="10" t="s">
        <v>2303</v>
      </c>
      <c r="E536" s="12" t="s">
        <v>3462</v>
      </c>
      <c r="F536" s="16">
        <v>485000</v>
      </c>
    </row>
    <row r="537" spans="1:6" x14ac:dyDescent="0.2">
      <c r="A537" s="8" t="s">
        <v>428</v>
      </c>
      <c r="B537" s="9">
        <v>28010041432</v>
      </c>
      <c r="C537" s="10">
        <f ca="1">TODAY()-2502</f>
        <v>41719</v>
      </c>
      <c r="D537" s="10" t="s">
        <v>3385</v>
      </c>
      <c r="E537" s="12" t="s">
        <v>3427</v>
      </c>
      <c r="F537" s="16">
        <v>260000</v>
      </c>
    </row>
    <row r="538" spans="1:6" x14ac:dyDescent="0.2">
      <c r="A538" s="8" t="s">
        <v>1992</v>
      </c>
      <c r="B538" s="9">
        <v>26710253626</v>
      </c>
      <c r="C538" s="10">
        <f ca="1">TODAY()-2377</f>
        <v>41844</v>
      </c>
      <c r="D538" s="10" t="s">
        <v>2298</v>
      </c>
      <c r="E538" s="12" t="s">
        <v>3488</v>
      </c>
      <c r="F538" s="16">
        <v>255000</v>
      </c>
    </row>
    <row r="539" spans="1:6" x14ac:dyDescent="0.2">
      <c r="A539" s="8" t="s">
        <v>714</v>
      </c>
      <c r="B539" s="9">
        <v>16211133071</v>
      </c>
      <c r="C539" s="10">
        <f ca="1">TODAY()-821</f>
        <v>43400</v>
      </c>
      <c r="D539" s="10" t="s">
        <v>2300</v>
      </c>
      <c r="E539" s="12" t="s">
        <v>3482</v>
      </c>
      <c r="F539" s="16">
        <v>400000</v>
      </c>
    </row>
    <row r="540" spans="1:6" x14ac:dyDescent="0.2">
      <c r="A540" s="8" t="s">
        <v>981</v>
      </c>
      <c r="B540" s="9">
        <v>26909089892</v>
      </c>
      <c r="C540" s="10">
        <f ca="1">TODAY()-4829</f>
        <v>39392</v>
      </c>
      <c r="D540" s="10" t="s">
        <v>2284</v>
      </c>
      <c r="E540" s="12" t="s">
        <v>2284</v>
      </c>
      <c r="F540" s="16">
        <v>470000</v>
      </c>
    </row>
    <row r="541" spans="1:6" x14ac:dyDescent="0.2">
      <c r="A541" s="8" t="s">
        <v>1220</v>
      </c>
      <c r="B541" s="9">
        <v>18705068383</v>
      </c>
      <c r="C541" s="10">
        <f ca="1">TODAY()-4627</f>
        <v>39594</v>
      </c>
      <c r="D541" s="10" t="s">
        <v>2290</v>
      </c>
      <c r="E541" s="12" t="s">
        <v>3466</v>
      </c>
      <c r="F541" s="16">
        <v>275000</v>
      </c>
    </row>
    <row r="542" spans="1:6" x14ac:dyDescent="0.2">
      <c r="A542" s="8" t="s">
        <v>1137</v>
      </c>
      <c r="B542" s="9">
        <v>26305263275</v>
      </c>
      <c r="C542" s="10">
        <f ca="1">TODAY()-3758</f>
        <v>40463</v>
      </c>
      <c r="D542" s="10" t="s">
        <v>3385</v>
      </c>
      <c r="E542" s="12" t="s">
        <v>3499</v>
      </c>
      <c r="F542" s="16">
        <v>210000</v>
      </c>
    </row>
    <row r="543" spans="1:6" x14ac:dyDescent="0.2">
      <c r="A543" s="8" t="s">
        <v>1127</v>
      </c>
      <c r="B543" s="9">
        <v>28712257542</v>
      </c>
      <c r="C543" s="10">
        <f ca="1">TODAY()-3579</f>
        <v>40642</v>
      </c>
      <c r="D543" s="10" t="s">
        <v>2294</v>
      </c>
      <c r="E543" s="12" t="s">
        <v>3530</v>
      </c>
      <c r="F543" s="16">
        <v>280000</v>
      </c>
    </row>
    <row r="544" spans="1:6" x14ac:dyDescent="0.2">
      <c r="A544" s="8" t="s">
        <v>2217</v>
      </c>
      <c r="B544" s="9">
        <v>27610282219</v>
      </c>
      <c r="C544" s="10">
        <f ca="1">TODAY()-118</f>
        <v>44103</v>
      </c>
      <c r="D544" s="10" t="s">
        <v>2299</v>
      </c>
      <c r="E544" s="12" t="s">
        <v>3463</v>
      </c>
      <c r="F544" s="16">
        <v>250000</v>
      </c>
    </row>
    <row r="545" spans="1:6" x14ac:dyDescent="0.2">
      <c r="A545" s="8" t="s">
        <v>717</v>
      </c>
      <c r="B545" s="9">
        <v>16711049187</v>
      </c>
      <c r="C545" s="10">
        <f ca="1">TODAY()-776</f>
        <v>43445</v>
      </c>
      <c r="D545" s="10" t="s">
        <v>2298</v>
      </c>
      <c r="E545" s="12" t="s">
        <v>3420</v>
      </c>
      <c r="F545" s="16">
        <v>235000</v>
      </c>
    </row>
    <row r="546" spans="1:6" x14ac:dyDescent="0.2">
      <c r="A546" s="8" t="s">
        <v>2103</v>
      </c>
      <c r="B546" s="9">
        <v>27512103998</v>
      </c>
      <c r="C546" s="10">
        <f ca="1">TODAY()-4888</f>
        <v>39333</v>
      </c>
      <c r="D546" s="10" t="s">
        <v>3402</v>
      </c>
      <c r="E546" s="12" t="s">
        <v>3512</v>
      </c>
      <c r="F546" s="16">
        <v>380000</v>
      </c>
    </row>
    <row r="547" spans="1:6" x14ac:dyDescent="0.2">
      <c r="A547" s="8" t="s">
        <v>1361</v>
      </c>
      <c r="B547" s="9">
        <v>28501165583</v>
      </c>
      <c r="C547" s="10">
        <f ca="1">TODAY()-3203</f>
        <v>41018</v>
      </c>
      <c r="D547" s="10" t="s">
        <v>3393</v>
      </c>
      <c r="E547" s="12" t="s">
        <v>3438</v>
      </c>
      <c r="F547" s="16">
        <v>220000</v>
      </c>
    </row>
    <row r="548" spans="1:6" x14ac:dyDescent="0.2">
      <c r="A548" s="8" t="s">
        <v>1546</v>
      </c>
      <c r="B548" s="9">
        <v>16608171815</v>
      </c>
      <c r="C548" s="10">
        <f ca="1">TODAY()-1320</f>
        <v>42901</v>
      </c>
      <c r="D548" s="10" t="s">
        <v>3393</v>
      </c>
      <c r="E548" s="12" t="s">
        <v>3427</v>
      </c>
      <c r="F548" s="16">
        <v>300000</v>
      </c>
    </row>
    <row r="549" spans="1:6" x14ac:dyDescent="0.2">
      <c r="A549" s="8" t="s">
        <v>511</v>
      </c>
      <c r="B549" s="9">
        <v>17310092188</v>
      </c>
      <c r="C549" s="10">
        <f ca="1">TODAY()-3364</f>
        <v>40857</v>
      </c>
      <c r="D549" s="10" t="s">
        <v>2285</v>
      </c>
      <c r="E549" s="12" t="s">
        <v>3443</v>
      </c>
      <c r="F549" s="16">
        <v>375000</v>
      </c>
    </row>
    <row r="550" spans="1:6" x14ac:dyDescent="0.2">
      <c r="A550" s="8" t="s">
        <v>521</v>
      </c>
      <c r="B550" s="9">
        <v>28402285496</v>
      </c>
      <c r="C550" s="10">
        <f ca="1">TODAY()-1761</f>
        <v>42460</v>
      </c>
      <c r="D550" s="10" t="s">
        <v>3380</v>
      </c>
      <c r="E550" s="12" t="s">
        <v>3484</v>
      </c>
      <c r="F550" s="16">
        <v>500000</v>
      </c>
    </row>
    <row r="551" spans="1:6" x14ac:dyDescent="0.2">
      <c r="A551" s="8" t="s">
        <v>1610</v>
      </c>
      <c r="B551" s="9">
        <v>18908176783</v>
      </c>
      <c r="C551" s="10">
        <f ca="1">TODAY()-3913</f>
        <v>40308</v>
      </c>
      <c r="D551" s="10" t="s">
        <v>3395</v>
      </c>
      <c r="E551" s="12" t="s">
        <v>3472</v>
      </c>
      <c r="F551" s="16">
        <v>455000</v>
      </c>
    </row>
    <row r="552" spans="1:6" x14ac:dyDescent="0.2">
      <c r="A552" s="8" t="s">
        <v>626</v>
      </c>
      <c r="B552" s="9">
        <v>18403129798</v>
      </c>
      <c r="C552" s="10">
        <f ca="1">TODAY()-1442</f>
        <v>42779</v>
      </c>
      <c r="D552" s="10" t="s">
        <v>3381</v>
      </c>
      <c r="E552" s="12" t="s">
        <v>3474</v>
      </c>
      <c r="F552" s="16">
        <v>260000</v>
      </c>
    </row>
    <row r="553" spans="1:6" x14ac:dyDescent="0.2">
      <c r="A553" s="8" t="s">
        <v>434</v>
      </c>
      <c r="B553" s="9">
        <v>16408132668</v>
      </c>
      <c r="C553" s="10">
        <f ca="1">TODAY()-592</f>
        <v>43629</v>
      </c>
      <c r="D553" s="10" t="s">
        <v>2293</v>
      </c>
      <c r="E553" s="12" t="s">
        <v>3501</v>
      </c>
      <c r="F553" s="16">
        <v>305000</v>
      </c>
    </row>
    <row r="554" spans="1:6" x14ac:dyDescent="0.2">
      <c r="A554" s="8" t="s">
        <v>944</v>
      </c>
      <c r="B554" s="9">
        <v>27505145437</v>
      </c>
      <c r="C554" s="10">
        <f ca="1">TODAY()-2819</f>
        <v>41402</v>
      </c>
      <c r="D554" s="10" t="s">
        <v>3383</v>
      </c>
      <c r="E554" s="12" t="s">
        <v>3414</v>
      </c>
      <c r="F554" s="16">
        <v>405000</v>
      </c>
    </row>
    <row r="555" spans="1:6" x14ac:dyDescent="0.2">
      <c r="A555" s="8" t="s">
        <v>584</v>
      </c>
      <c r="B555" s="9">
        <v>18404168496</v>
      </c>
      <c r="C555" s="10">
        <f ca="1">TODAY()-2605</f>
        <v>41616</v>
      </c>
      <c r="D555" s="10" t="s">
        <v>3386</v>
      </c>
      <c r="E555" s="12" t="s">
        <v>3522</v>
      </c>
      <c r="F555" s="16">
        <v>225000</v>
      </c>
    </row>
    <row r="556" spans="1:6" x14ac:dyDescent="0.2">
      <c r="A556" s="8" t="s">
        <v>2139</v>
      </c>
      <c r="B556" s="9">
        <v>26912247079</v>
      </c>
      <c r="C556" s="10">
        <f ca="1">TODAY()-1468</f>
        <v>42753</v>
      </c>
      <c r="D556" s="10" t="s">
        <v>3389</v>
      </c>
      <c r="E556" s="12" t="s">
        <v>3516</v>
      </c>
      <c r="F556" s="16">
        <v>400000</v>
      </c>
    </row>
    <row r="557" spans="1:6" x14ac:dyDescent="0.2">
      <c r="A557" s="8" t="s">
        <v>1931</v>
      </c>
      <c r="B557" s="9">
        <v>18104258124</v>
      </c>
      <c r="C557" s="10">
        <f ca="1">TODAY()-1303</f>
        <v>42918</v>
      </c>
      <c r="D557" s="10" t="s">
        <v>3402</v>
      </c>
      <c r="E557" s="12" t="s">
        <v>3410</v>
      </c>
      <c r="F557" s="16">
        <v>255000</v>
      </c>
    </row>
    <row r="558" spans="1:6" x14ac:dyDescent="0.2">
      <c r="A558" s="8" t="s">
        <v>929</v>
      </c>
      <c r="B558" s="9">
        <v>27207285404</v>
      </c>
      <c r="C558" s="10">
        <f ca="1">TODAY()-2420</f>
        <v>41801</v>
      </c>
      <c r="D558" s="10" t="s">
        <v>3386</v>
      </c>
      <c r="E558" s="12" t="s">
        <v>3522</v>
      </c>
      <c r="F558" s="16">
        <v>460000</v>
      </c>
    </row>
    <row r="559" spans="1:6" x14ac:dyDescent="0.2">
      <c r="A559" s="8" t="s">
        <v>1060</v>
      </c>
      <c r="B559" s="9">
        <v>17507286180</v>
      </c>
      <c r="C559" s="10">
        <f ca="1">TODAY()-2979</f>
        <v>41242</v>
      </c>
      <c r="D559" s="10" t="s">
        <v>3387</v>
      </c>
      <c r="E559" s="12" t="s">
        <v>3552</v>
      </c>
      <c r="F559" s="16">
        <v>265000</v>
      </c>
    </row>
    <row r="560" spans="1:6" x14ac:dyDescent="0.2">
      <c r="A560" s="8" t="s">
        <v>1663</v>
      </c>
      <c r="B560" s="9">
        <v>17305011566</v>
      </c>
      <c r="C560" s="10">
        <f ca="1">TODAY()-135</f>
        <v>44086</v>
      </c>
      <c r="D560" s="10" t="s">
        <v>2297</v>
      </c>
      <c r="E560" s="12" t="s">
        <v>3429</v>
      </c>
      <c r="F560" s="16">
        <v>235000</v>
      </c>
    </row>
    <row r="561" spans="1:6" x14ac:dyDescent="0.2">
      <c r="A561" s="8" t="s">
        <v>1658</v>
      </c>
      <c r="B561" s="9">
        <v>28506033289</v>
      </c>
      <c r="C561" s="10">
        <f ca="1">TODAY()-1076</f>
        <v>43145</v>
      </c>
      <c r="D561" s="10" t="s">
        <v>3399</v>
      </c>
      <c r="E561" s="12" t="s">
        <v>3411</v>
      </c>
      <c r="F561" s="16">
        <v>350000</v>
      </c>
    </row>
    <row r="562" spans="1:6" x14ac:dyDescent="0.2">
      <c r="A562" s="8" t="s">
        <v>1324</v>
      </c>
      <c r="B562" s="9">
        <v>16204015050</v>
      </c>
      <c r="C562" s="10">
        <f ca="1">TODAY()-4050</f>
        <v>40171</v>
      </c>
      <c r="D562" s="10" t="s">
        <v>3391</v>
      </c>
      <c r="E562" s="12" t="s">
        <v>3526</v>
      </c>
      <c r="F562" s="16">
        <v>320000</v>
      </c>
    </row>
    <row r="563" spans="1:6" x14ac:dyDescent="0.2">
      <c r="A563" s="8" t="s">
        <v>808</v>
      </c>
      <c r="B563" s="9">
        <v>28403096056</v>
      </c>
      <c r="C563" s="10">
        <f ca="1">TODAY()-3506</f>
        <v>40715</v>
      </c>
      <c r="D563" s="10" t="s">
        <v>3397</v>
      </c>
      <c r="E563" s="12" t="s">
        <v>3538</v>
      </c>
      <c r="F563" s="16">
        <v>210000</v>
      </c>
    </row>
    <row r="564" spans="1:6" x14ac:dyDescent="0.2">
      <c r="A564" s="8" t="s">
        <v>467</v>
      </c>
      <c r="B564" s="9">
        <v>26404288256</v>
      </c>
      <c r="C564" s="10">
        <f ca="1">TODAY()-4218</f>
        <v>40003</v>
      </c>
      <c r="D564" s="10" t="s">
        <v>3395</v>
      </c>
      <c r="E564" s="12" t="s">
        <v>3456</v>
      </c>
      <c r="F564" s="16">
        <v>180000</v>
      </c>
    </row>
    <row r="565" spans="1:6" x14ac:dyDescent="0.2">
      <c r="A565" s="8" t="s">
        <v>757</v>
      </c>
      <c r="B565" s="9">
        <v>16003074816</v>
      </c>
      <c r="C565" s="10">
        <f ca="1">TODAY()-1752</f>
        <v>42469</v>
      </c>
      <c r="D565" s="10" t="s">
        <v>3384</v>
      </c>
      <c r="E565" s="12" t="s">
        <v>3553</v>
      </c>
      <c r="F565" s="16">
        <v>475000</v>
      </c>
    </row>
    <row r="566" spans="1:6" x14ac:dyDescent="0.2">
      <c r="A566" s="8" t="s">
        <v>1570</v>
      </c>
      <c r="B566" s="9">
        <v>28210185367</v>
      </c>
      <c r="C566" s="10">
        <f ca="1">TODAY()-1808</f>
        <v>42413</v>
      </c>
      <c r="D566" s="10" t="s">
        <v>2297</v>
      </c>
      <c r="E566" s="12" t="s">
        <v>3500</v>
      </c>
      <c r="F566" s="16">
        <v>305000</v>
      </c>
    </row>
    <row r="567" spans="1:6" x14ac:dyDescent="0.2">
      <c r="A567" s="8" t="s">
        <v>1283</v>
      </c>
      <c r="B567" s="9">
        <v>16009083479</v>
      </c>
      <c r="C567" s="10">
        <f ca="1">TODAY()-1488</f>
        <v>42733</v>
      </c>
      <c r="D567" s="10" t="s">
        <v>3386</v>
      </c>
      <c r="E567" s="12" t="s">
        <v>3538</v>
      </c>
      <c r="F567" s="16">
        <v>340000</v>
      </c>
    </row>
    <row r="568" spans="1:6" x14ac:dyDescent="0.2">
      <c r="A568" s="8" t="s">
        <v>1507</v>
      </c>
      <c r="B568" s="9">
        <v>26004286554</v>
      </c>
      <c r="C568" s="10">
        <f ca="1">TODAY()-2249</f>
        <v>41972</v>
      </c>
      <c r="D568" s="10" t="s">
        <v>3388</v>
      </c>
      <c r="E568" s="12" t="s">
        <v>3522</v>
      </c>
      <c r="F568" s="16">
        <v>465000</v>
      </c>
    </row>
    <row r="569" spans="1:6" x14ac:dyDescent="0.2">
      <c r="A569" s="8" t="s">
        <v>1983</v>
      </c>
      <c r="B569" s="9">
        <v>28203088958</v>
      </c>
      <c r="C569" s="10">
        <f ca="1">TODAY()-4362</f>
        <v>39859</v>
      </c>
      <c r="D569" s="10" t="s">
        <v>3380</v>
      </c>
      <c r="E569" s="12" t="s">
        <v>3477</v>
      </c>
      <c r="F569" s="16">
        <v>455000</v>
      </c>
    </row>
    <row r="570" spans="1:6" x14ac:dyDescent="0.2">
      <c r="A570" s="8" t="s">
        <v>2201</v>
      </c>
      <c r="B570" s="9">
        <v>16504118321</v>
      </c>
      <c r="C570" s="10">
        <f ca="1">TODAY()-3254</f>
        <v>40967</v>
      </c>
      <c r="D570" s="10" t="s">
        <v>3394</v>
      </c>
      <c r="E570" s="12" t="s">
        <v>3440</v>
      </c>
      <c r="F570" s="16">
        <v>180000</v>
      </c>
    </row>
    <row r="571" spans="1:6" x14ac:dyDescent="0.2">
      <c r="A571" s="8" t="s">
        <v>791</v>
      </c>
      <c r="B571" s="9">
        <v>16611147323</v>
      </c>
      <c r="C571" s="10">
        <f ca="1">TODAY()-2615</f>
        <v>41606</v>
      </c>
      <c r="D571" s="10" t="s">
        <v>2292</v>
      </c>
      <c r="E571" s="12" t="s">
        <v>3479</v>
      </c>
      <c r="F571" s="16">
        <v>440000</v>
      </c>
    </row>
    <row r="572" spans="1:6" x14ac:dyDescent="0.2">
      <c r="A572" s="8" t="s">
        <v>976</v>
      </c>
      <c r="B572" s="9">
        <v>27604216669</v>
      </c>
      <c r="C572" s="10">
        <f ca="1">TODAY()-3355</f>
        <v>40866</v>
      </c>
      <c r="D572" s="10" t="s">
        <v>2286</v>
      </c>
      <c r="E572" s="12" t="s">
        <v>2286</v>
      </c>
      <c r="F572" s="16">
        <v>225000</v>
      </c>
    </row>
    <row r="573" spans="1:6" x14ac:dyDescent="0.2">
      <c r="A573" s="8" t="s">
        <v>1216</v>
      </c>
      <c r="B573" s="9">
        <v>27301157174</v>
      </c>
      <c r="C573" s="10">
        <f ca="1">TODAY()-3381</f>
        <v>40840</v>
      </c>
      <c r="D573" s="10" t="s">
        <v>2285</v>
      </c>
      <c r="E573" s="12" t="s">
        <v>3502</v>
      </c>
      <c r="F573" s="16">
        <v>300000</v>
      </c>
    </row>
    <row r="574" spans="1:6" x14ac:dyDescent="0.2">
      <c r="A574" s="8" t="s">
        <v>1636</v>
      </c>
      <c r="B574" s="9">
        <v>26506171620</v>
      </c>
      <c r="C574" s="10">
        <f ca="1">TODAY()-4545</f>
        <v>39676</v>
      </c>
      <c r="D574" s="10" t="s">
        <v>3380</v>
      </c>
      <c r="E574" s="12" t="s">
        <v>3482</v>
      </c>
      <c r="F574" s="16">
        <v>285000</v>
      </c>
    </row>
    <row r="575" spans="1:6" x14ac:dyDescent="0.2">
      <c r="A575" s="8" t="s">
        <v>635</v>
      </c>
      <c r="B575" s="9">
        <v>18106123625</v>
      </c>
      <c r="C575" s="10">
        <f ca="1">TODAY()-1215</f>
        <v>43006</v>
      </c>
      <c r="D575" s="10" t="s">
        <v>3402</v>
      </c>
      <c r="E575" s="12" t="s">
        <v>3425</v>
      </c>
      <c r="F575" s="16">
        <v>260000</v>
      </c>
    </row>
    <row r="576" spans="1:6" x14ac:dyDescent="0.2">
      <c r="A576" s="8" t="s">
        <v>1048</v>
      </c>
      <c r="B576" s="9">
        <v>17412161169</v>
      </c>
      <c r="C576" s="10">
        <f ca="1">TODAY()-510</f>
        <v>43711</v>
      </c>
      <c r="D576" s="10" t="s">
        <v>2297</v>
      </c>
      <c r="E576" s="12" t="s">
        <v>3456</v>
      </c>
      <c r="F576" s="16">
        <v>435000</v>
      </c>
    </row>
    <row r="577" spans="1:6" x14ac:dyDescent="0.2">
      <c r="A577" s="8" t="s">
        <v>1560</v>
      </c>
      <c r="B577" s="9">
        <v>16603209250</v>
      </c>
      <c r="C577" s="10">
        <f ca="1">TODAY()-1220</f>
        <v>43001</v>
      </c>
      <c r="D577" s="10" t="s">
        <v>3395</v>
      </c>
      <c r="E577" s="12" t="s">
        <v>3395</v>
      </c>
      <c r="F577" s="16">
        <v>495000</v>
      </c>
    </row>
    <row r="578" spans="1:6" x14ac:dyDescent="0.2">
      <c r="A578" s="8" t="s">
        <v>1387</v>
      </c>
      <c r="B578" s="9">
        <v>16505175024</v>
      </c>
      <c r="C578" s="10">
        <f ca="1">TODAY()-4628</f>
        <v>39593</v>
      </c>
      <c r="D578" s="10" t="s">
        <v>2288</v>
      </c>
      <c r="E578" s="12" t="s">
        <v>3478</v>
      </c>
      <c r="F578" s="16">
        <v>275000</v>
      </c>
    </row>
    <row r="579" spans="1:6" x14ac:dyDescent="0.2">
      <c r="A579" s="8" t="s">
        <v>1267</v>
      </c>
      <c r="B579" s="9">
        <v>16204196413</v>
      </c>
      <c r="C579" s="10">
        <f ca="1">TODAY()-1643</f>
        <v>42578</v>
      </c>
      <c r="D579" s="10" t="s">
        <v>3386</v>
      </c>
      <c r="E579" s="12" t="s">
        <v>3539</v>
      </c>
      <c r="F579" s="16">
        <v>210000</v>
      </c>
    </row>
    <row r="580" spans="1:6" x14ac:dyDescent="0.2">
      <c r="A580" s="8" t="s">
        <v>875</v>
      </c>
      <c r="B580" s="9">
        <v>28510143131</v>
      </c>
      <c r="C580" s="10">
        <f ca="1">TODAY()-2119</f>
        <v>42102</v>
      </c>
      <c r="D580" s="10" t="s">
        <v>2292</v>
      </c>
      <c r="E580" s="12" t="s">
        <v>3480</v>
      </c>
      <c r="F580" s="16">
        <v>295000</v>
      </c>
    </row>
    <row r="581" spans="1:6" x14ac:dyDescent="0.2">
      <c r="A581" s="8" t="s">
        <v>913</v>
      </c>
      <c r="B581" s="9">
        <v>18002272394</v>
      </c>
      <c r="C581" s="10">
        <f ca="1">TODAY()-3657</f>
        <v>40564</v>
      </c>
      <c r="D581" s="10" t="s">
        <v>3394</v>
      </c>
      <c r="E581" s="12" t="s">
        <v>3465</v>
      </c>
      <c r="F581" s="16">
        <v>450000</v>
      </c>
    </row>
    <row r="582" spans="1:6" x14ac:dyDescent="0.2">
      <c r="A582" s="8" t="s">
        <v>2165</v>
      </c>
      <c r="B582" s="9">
        <v>17805168687</v>
      </c>
      <c r="C582" s="10">
        <f ca="1">TODAY()-2097</f>
        <v>42124</v>
      </c>
      <c r="D582" s="10" t="s">
        <v>3400</v>
      </c>
      <c r="E582" s="12" t="s">
        <v>3559</v>
      </c>
      <c r="F582" s="16">
        <v>175000</v>
      </c>
    </row>
    <row r="583" spans="1:6" x14ac:dyDescent="0.2">
      <c r="A583" s="8" t="s">
        <v>2004</v>
      </c>
      <c r="B583" s="9">
        <v>17211073690</v>
      </c>
      <c r="C583" s="10">
        <f ca="1">TODAY()-1814</f>
        <v>42407</v>
      </c>
      <c r="D583" s="10" t="s">
        <v>3391</v>
      </c>
      <c r="E583" s="12" t="s">
        <v>3409</v>
      </c>
      <c r="F583" s="16">
        <v>220000</v>
      </c>
    </row>
    <row r="584" spans="1:6" x14ac:dyDescent="0.2">
      <c r="A584" s="8" t="s">
        <v>1128</v>
      </c>
      <c r="B584" s="9">
        <v>19010099474</v>
      </c>
      <c r="C584" s="10">
        <f ca="1">TODAY()-4342</f>
        <v>39879</v>
      </c>
      <c r="D584" s="10" t="s">
        <v>3382</v>
      </c>
      <c r="E584" s="12" t="s">
        <v>3491</v>
      </c>
      <c r="F584" s="16">
        <v>260000</v>
      </c>
    </row>
    <row r="585" spans="1:6" x14ac:dyDescent="0.2">
      <c r="A585" s="8" t="s">
        <v>1477</v>
      </c>
      <c r="B585" s="9">
        <v>26710015565</v>
      </c>
      <c r="C585" s="10">
        <f ca="1">TODAY()-1500</f>
        <v>42721</v>
      </c>
      <c r="D585" s="10" t="s">
        <v>3381</v>
      </c>
      <c r="E585" s="12" t="s">
        <v>3456</v>
      </c>
      <c r="F585" s="16">
        <v>180000</v>
      </c>
    </row>
    <row r="586" spans="1:6" x14ac:dyDescent="0.2">
      <c r="A586" s="8" t="s">
        <v>2067</v>
      </c>
      <c r="B586" s="9">
        <v>17104114191</v>
      </c>
      <c r="C586" s="10">
        <f ca="1">TODAY()-1262</f>
        <v>42959</v>
      </c>
      <c r="D586" s="10" t="s">
        <v>3393</v>
      </c>
      <c r="E586" s="12" t="s">
        <v>3520</v>
      </c>
      <c r="F586" s="16">
        <v>480000</v>
      </c>
    </row>
    <row r="587" spans="1:6" x14ac:dyDescent="0.2">
      <c r="A587" s="8" t="s">
        <v>933</v>
      </c>
      <c r="B587" s="9">
        <v>28603178691</v>
      </c>
      <c r="C587" s="10">
        <f ca="1">TODAY()-4612</f>
        <v>39609</v>
      </c>
      <c r="D587" s="10" t="s">
        <v>3399</v>
      </c>
      <c r="E587" s="12" t="s">
        <v>3419</v>
      </c>
      <c r="F587" s="16">
        <v>385000</v>
      </c>
    </row>
    <row r="588" spans="1:6" x14ac:dyDescent="0.2">
      <c r="A588" s="8" t="s">
        <v>938</v>
      </c>
      <c r="B588" s="9">
        <v>17903184772</v>
      </c>
      <c r="C588" s="10">
        <f ca="1">TODAY()-4007</f>
        <v>40214</v>
      </c>
      <c r="D588" s="10" t="s">
        <v>2299</v>
      </c>
      <c r="E588" s="12" t="s">
        <v>3505</v>
      </c>
      <c r="F588" s="16">
        <v>185000</v>
      </c>
    </row>
    <row r="589" spans="1:6" x14ac:dyDescent="0.2">
      <c r="A589" s="8" t="s">
        <v>1306</v>
      </c>
      <c r="B589" s="9">
        <v>18708197535</v>
      </c>
      <c r="C589" s="10">
        <f ca="1">TODAY()-318</f>
        <v>43903</v>
      </c>
      <c r="D589" s="10" t="s">
        <v>2290</v>
      </c>
      <c r="E589" s="12" t="s">
        <v>3408</v>
      </c>
      <c r="F589" s="16">
        <v>385000</v>
      </c>
    </row>
    <row r="590" spans="1:6" x14ac:dyDescent="0.2">
      <c r="A590" s="8" t="s">
        <v>526</v>
      </c>
      <c r="B590" s="9">
        <v>27409107895</v>
      </c>
      <c r="C590" s="10">
        <f ca="1">TODAY()-4011</f>
        <v>40210</v>
      </c>
      <c r="D590" s="10" t="s">
        <v>3382</v>
      </c>
      <c r="E590" s="12" t="s">
        <v>3407</v>
      </c>
      <c r="F590" s="16">
        <v>355000</v>
      </c>
    </row>
    <row r="591" spans="1:6" x14ac:dyDescent="0.2">
      <c r="A591" s="8" t="s">
        <v>1309</v>
      </c>
      <c r="B591" s="9">
        <v>19011203435</v>
      </c>
      <c r="C591" s="10">
        <f ca="1">TODAY()-2541</f>
        <v>41680</v>
      </c>
      <c r="D591" s="10" t="s">
        <v>3396</v>
      </c>
      <c r="E591" s="12" t="s">
        <v>3525</v>
      </c>
      <c r="F591" s="16">
        <v>270000</v>
      </c>
    </row>
    <row r="592" spans="1:6" x14ac:dyDescent="0.2">
      <c r="A592" s="8" t="s">
        <v>843</v>
      </c>
      <c r="B592" s="9">
        <v>18909042535</v>
      </c>
      <c r="C592" s="10">
        <f ca="1">TODAY()-3976</f>
        <v>40245</v>
      </c>
      <c r="D592" s="10" t="s">
        <v>2294</v>
      </c>
      <c r="E592" s="12" t="s">
        <v>3538</v>
      </c>
      <c r="F592" s="16">
        <v>285000</v>
      </c>
    </row>
    <row r="593" spans="1:6" x14ac:dyDescent="0.2">
      <c r="A593" s="8" t="s">
        <v>1433</v>
      </c>
      <c r="B593" s="9">
        <v>27705085544</v>
      </c>
      <c r="C593" s="10">
        <f ca="1">TODAY()-425</f>
        <v>43796</v>
      </c>
      <c r="D593" s="10" t="s">
        <v>2297</v>
      </c>
      <c r="E593" s="12" t="s">
        <v>3436</v>
      </c>
      <c r="F593" s="16">
        <v>460000</v>
      </c>
    </row>
    <row r="594" spans="1:6" x14ac:dyDescent="0.2">
      <c r="A594" s="8" t="s">
        <v>2046</v>
      </c>
      <c r="B594" s="9">
        <v>27207085219</v>
      </c>
      <c r="C594" s="10">
        <f ca="1">TODAY()-4601</f>
        <v>39620</v>
      </c>
      <c r="D594" s="10" t="s">
        <v>3397</v>
      </c>
      <c r="E594" s="12" t="s">
        <v>3484</v>
      </c>
      <c r="F594" s="16">
        <v>455000</v>
      </c>
    </row>
    <row r="595" spans="1:6" x14ac:dyDescent="0.2">
      <c r="A595" s="8" t="s">
        <v>1521</v>
      </c>
      <c r="B595" s="9">
        <v>18911235180</v>
      </c>
      <c r="C595" s="10">
        <f ca="1">TODAY()-4143</f>
        <v>40078</v>
      </c>
      <c r="D595" s="10" t="s">
        <v>2286</v>
      </c>
      <c r="E595" s="12" t="s">
        <v>3486</v>
      </c>
      <c r="F595" s="16">
        <v>500000</v>
      </c>
    </row>
    <row r="596" spans="1:6" x14ac:dyDescent="0.2">
      <c r="A596" s="8" t="s">
        <v>2278</v>
      </c>
      <c r="B596" s="9">
        <v>29008185380</v>
      </c>
      <c r="C596" s="10">
        <f ca="1">TODAY()-399</f>
        <v>43822</v>
      </c>
      <c r="D596" s="10" t="s">
        <v>3383</v>
      </c>
      <c r="E596" s="12" t="s">
        <v>3383</v>
      </c>
      <c r="F596" s="16">
        <v>485000</v>
      </c>
    </row>
    <row r="597" spans="1:6" x14ac:dyDescent="0.2">
      <c r="A597" s="8" t="s">
        <v>1784</v>
      </c>
      <c r="B597" s="9">
        <v>28606179701</v>
      </c>
      <c r="C597" s="10">
        <f ca="1">TODAY()-3105</f>
        <v>41116</v>
      </c>
      <c r="D597" s="10" t="s">
        <v>3387</v>
      </c>
      <c r="E597" s="12" t="s">
        <v>3467</v>
      </c>
      <c r="F597" s="16">
        <v>220000</v>
      </c>
    </row>
    <row r="598" spans="1:6" x14ac:dyDescent="0.2">
      <c r="A598" s="8" t="s">
        <v>2247</v>
      </c>
      <c r="B598" s="9">
        <v>28604134790</v>
      </c>
      <c r="C598" s="10">
        <f ca="1">TODAY()-2420</f>
        <v>41801</v>
      </c>
      <c r="D598" s="10" t="s">
        <v>2288</v>
      </c>
      <c r="E598" s="12" t="s">
        <v>3456</v>
      </c>
      <c r="F598" s="16">
        <v>465000</v>
      </c>
    </row>
    <row r="599" spans="1:6" x14ac:dyDescent="0.2">
      <c r="A599" s="8" t="s">
        <v>1825</v>
      </c>
      <c r="B599" s="9">
        <v>16809187534</v>
      </c>
      <c r="C599" s="10">
        <f ca="1">TODAY()-1531</f>
        <v>42690</v>
      </c>
      <c r="D599" s="10" t="s">
        <v>3382</v>
      </c>
      <c r="E599" s="12" t="s">
        <v>3475</v>
      </c>
      <c r="F599" s="16">
        <v>210000</v>
      </c>
    </row>
    <row r="600" spans="1:6" x14ac:dyDescent="0.2">
      <c r="A600" s="8" t="s">
        <v>888</v>
      </c>
      <c r="B600" s="9">
        <v>27203123972</v>
      </c>
      <c r="C600" s="10">
        <f ca="1">TODAY()-1092</f>
        <v>43129</v>
      </c>
      <c r="D600" s="10" t="s">
        <v>2299</v>
      </c>
      <c r="E600" s="12" t="s">
        <v>3477</v>
      </c>
      <c r="F600" s="16">
        <v>255000</v>
      </c>
    </row>
    <row r="601" spans="1:6" x14ac:dyDescent="0.2">
      <c r="A601" s="8" t="s">
        <v>1278</v>
      </c>
      <c r="B601" s="9">
        <v>16303246846</v>
      </c>
      <c r="C601" s="10">
        <f ca="1">TODAY()-2491</f>
        <v>41730</v>
      </c>
      <c r="D601" s="10" t="s">
        <v>2298</v>
      </c>
      <c r="E601" s="12" t="s">
        <v>3407</v>
      </c>
      <c r="F601" s="16">
        <v>455000</v>
      </c>
    </row>
    <row r="602" spans="1:6" x14ac:dyDescent="0.2">
      <c r="A602" s="8" t="s">
        <v>1295</v>
      </c>
      <c r="B602" s="9">
        <v>28607269641</v>
      </c>
      <c r="C602" s="10">
        <f ca="1">TODAY()-1367</f>
        <v>42854</v>
      </c>
      <c r="D602" s="10" t="s">
        <v>2304</v>
      </c>
      <c r="E602" s="12" t="s">
        <v>3469</v>
      </c>
      <c r="F602" s="16">
        <v>200000</v>
      </c>
    </row>
    <row r="603" spans="1:6" x14ac:dyDescent="0.2">
      <c r="A603" s="8" t="s">
        <v>575</v>
      </c>
      <c r="B603" s="9">
        <v>18906055757</v>
      </c>
      <c r="C603" s="10">
        <f ca="1">TODAY()-1380</f>
        <v>42841</v>
      </c>
      <c r="D603" s="10" t="s">
        <v>2292</v>
      </c>
      <c r="E603" s="12" t="s">
        <v>3479</v>
      </c>
      <c r="F603" s="16">
        <v>285000</v>
      </c>
    </row>
    <row r="604" spans="1:6" x14ac:dyDescent="0.2">
      <c r="A604" s="8" t="s">
        <v>1675</v>
      </c>
      <c r="B604" s="9">
        <v>18208182209</v>
      </c>
      <c r="C604" s="10">
        <f ca="1">TODAY()-1495</f>
        <v>42726</v>
      </c>
      <c r="D604" s="10" t="s">
        <v>2296</v>
      </c>
      <c r="E604" s="12" t="s">
        <v>3553</v>
      </c>
      <c r="F604" s="16">
        <v>190000</v>
      </c>
    </row>
    <row r="605" spans="1:6" x14ac:dyDescent="0.2">
      <c r="A605" s="8" t="s">
        <v>2195</v>
      </c>
      <c r="B605" s="9">
        <v>18002097785</v>
      </c>
      <c r="C605" s="10">
        <f ca="1">TODAY()-823</f>
        <v>43398</v>
      </c>
      <c r="D605" s="10" t="s">
        <v>2298</v>
      </c>
      <c r="E605" s="12" t="s">
        <v>3454</v>
      </c>
      <c r="F605" s="16">
        <v>440000</v>
      </c>
    </row>
    <row r="606" spans="1:6" x14ac:dyDescent="0.2">
      <c r="A606" s="8" t="s">
        <v>1720</v>
      </c>
      <c r="B606" s="9">
        <v>27004097858</v>
      </c>
      <c r="C606" s="10">
        <f ca="1">TODAY()-2676</f>
        <v>41545</v>
      </c>
      <c r="D606" s="10" t="s">
        <v>3381</v>
      </c>
      <c r="E606" s="12" t="s">
        <v>3407</v>
      </c>
      <c r="F606" s="16">
        <v>320000</v>
      </c>
    </row>
    <row r="607" spans="1:6" x14ac:dyDescent="0.2">
      <c r="A607" s="8" t="s">
        <v>1064</v>
      </c>
      <c r="B607" s="9">
        <v>28709014075</v>
      </c>
      <c r="C607" s="10">
        <f ca="1">TODAY()-4237</f>
        <v>39984</v>
      </c>
      <c r="D607" s="10" t="s">
        <v>2297</v>
      </c>
      <c r="E607" s="12" t="s">
        <v>3504</v>
      </c>
      <c r="F607" s="16">
        <v>450000</v>
      </c>
    </row>
    <row r="608" spans="1:6" x14ac:dyDescent="0.2">
      <c r="A608" s="8" t="s">
        <v>915</v>
      </c>
      <c r="B608" s="9">
        <v>27810146600</v>
      </c>
      <c r="C608" s="10">
        <f ca="1">TODAY()-1506</f>
        <v>42715</v>
      </c>
      <c r="D608" s="10" t="s">
        <v>3397</v>
      </c>
      <c r="E608" s="12" t="s">
        <v>3541</v>
      </c>
      <c r="F608" s="16">
        <v>330000</v>
      </c>
    </row>
    <row r="609" spans="1:6" x14ac:dyDescent="0.2">
      <c r="A609" s="8" t="s">
        <v>1775</v>
      </c>
      <c r="B609" s="9">
        <v>16110196985</v>
      </c>
      <c r="C609" s="10">
        <f ca="1">TODAY()-4258</f>
        <v>39963</v>
      </c>
      <c r="D609" s="10" t="s">
        <v>3398</v>
      </c>
      <c r="E609" s="12" t="s">
        <v>3481</v>
      </c>
      <c r="F609" s="16">
        <v>495000</v>
      </c>
    </row>
    <row r="610" spans="1:6" x14ac:dyDescent="0.2">
      <c r="A610" s="8" t="s">
        <v>686</v>
      </c>
      <c r="B610" s="9">
        <v>27703127658</v>
      </c>
      <c r="C610" s="10">
        <f ca="1">TODAY()-4204</f>
        <v>40017</v>
      </c>
      <c r="D610" s="10" t="s">
        <v>3383</v>
      </c>
      <c r="E610" s="12" t="s">
        <v>3403</v>
      </c>
      <c r="F610" s="16">
        <v>245000</v>
      </c>
    </row>
    <row r="611" spans="1:6" x14ac:dyDescent="0.2">
      <c r="A611" s="8" t="s">
        <v>2001</v>
      </c>
      <c r="B611" s="9">
        <v>27606261262</v>
      </c>
      <c r="C611" s="10">
        <f ca="1">TODAY()-1774</f>
        <v>42447</v>
      </c>
      <c r="D611" s="10" t="s">
        <v>2288</v>
      </c>
      <c r="E611" s="12" t="s">
        <v>3477</v>
      </c>
      <c r="F611" s="16">
        <v>415000</v>
      </c>
    </row>
    <row r="612" spans="1:6" x14ac:dyDescent="0.2">
      <c r="A612" s="8" t="s">
        <v>737</v>
      </c>
      <c r="B612" s="9">
        <v>27506119042</v>
      </c>
      <c r="C612" s="10">
        <f ca="1">TODAY()-2456</f>
        <v>41765</v>
      </c>
      <c r="D612" s="10" t="s">
        <v>2285</v>
      </c>
      <c r="E612" s="12" t="s">
        <v>3407</v>
      </c>
      <c r="F612" s="16">
        <v>415000</v>
      </c>
    </row>
    <row r="613" spans="1:6" x14ac:dyDescent="0.2">
      <c r="A613" s="8" t="s">
        <v>1861</v>
      </c>
      <c r="B613" s="9">
        <v>27509173560</v>
      </c>
      <c r="C613" s="10">
        <f ca="1">TODAY()-2704</f>
        <v>41517</v>
      </c>
      <c r="D613" s="10" t="s">
        <v>2300</v>
      </c>
      <c r="E613" s="12" t="s">
        <v>3534</v>
      </c>
      <c r="F613" s="16">
        <v>180000</v>
      </c>
    </row>
    <row r="614" spans="1:6" x14ac:dyDescent="0.2">
      <c r="A614" s="8" t="s">
        <v>2131</v>
      </c>
      <c r="B614" s="9">
        <v>18408051846</v>
      </c>
      <c r="C614" s="10">
        <f ca="1">TODAY()-102</f>
        <v>44119</v>
      </c>
      <c r="D614" s="10" t="s">
        <v>3378</v>
      </c>
      <c r="E614" s="12" t="s">
        <v>3524</v>
      </c>
      <c r="F614" s="16">
        <v>465000</v>
      </c>
    </row>
    <row r="615" spans="1:6" x14ac:dyDescent="0.2">
      <c r="A615" s="8" t="s">
        <v>1642</v>
      </c>
      <c r="B615" s="9">
        <v>16702237512</v>
      </c>
      <c r="C615" s="10">
        <f ca="1">TODAY()-3875</f>
        <v>40346</v>
      </c>
      <c r="D615" s="10" t="s">
        <v>2288</v>
      </c>
      <c r="E615" s="12" t="s">
        <v>3532</v>
      </c>
      <c r="F615" s="16">
        <v>335000</v>
      </c>
    </row>
    <row r="616" spans="1:6" x14ac:dyDescent="0.2">
      <c r="A616" s="8" t="s">
        <v>1942</v>
      </c>
      <c r="B616" s="9">
        <v>17308197069</v>
      </c>
      <c r="C616" s="10">
        <f ca="1">TODAY()-4964</f>
        <v>39257</v>
      </c>
      <c r="D616" s="10" t="s">
        <v>3379</v>
      </c>
      <c r="E616" s="12" t="s">
        <v>3531</v>
      </c>
      <c r="F616" s="16">
        <v>240000</v>
      </c>
    </row>
    <row r="617" spans="1:6" x14ac:dyDescent="0.2">
      <c r="A617" s="8" t="s">
        <v>830</v>
      </c>
      <c r="B617" s="9">
        <v>28509182508</v>
      </c>
      <c r="C617" s="10">
        <f ca="1">TODAY()-2281</f>
        <v>41940</v>
      </c>
      <c r="D617" s="10" t="s">
        <v>3399</v>
      </c>
      <c r="E617" s="12" t="s">
        <v>3473</v>
      </c>
      <c r="F617" s="16">
        <v>400000</v>
      </c>
    </row>
    <row r="618" spans="1:6" x14ac:dyDescent="0.2">
      <c r="A618" s="8" t="s">
        <v>850</v>
      </c>
      <c r="B618" s="9">
        <v>26011167567</v>
      </c>
      <c r="C618" s="10">
        <f ca="1">TODAY()-3498</f>
        <v>40723</v>
      </c>
      <c r="D618" s="10" t="s">
        <v>3391</v>
      </c>
      <c r="E618" s="12" t="s">
        <v>3503</v>
      </c>
      <c r="F618" s="16">
        <v>375000</v>
      </c>
    </row>
    <row r="619" spans="1:6" x14ac:dyDescent="0.2">
      <c r="A619" s="8" t="s">
        <v>1145</v>
      </c>
      <c r="B619" s="9">
        <v>18710087157</v>
      </c>
      <c r="C619" s="10">
        <f ca="1">TODAY()-3035</f>
        <v>41186</v>
      </c>
      <c r="D619" s="10" t="s">
        <v>3387</v>
      </c>
      <c r="E619" s="12" t="s">
        <v>3485</v>
      </c>
      <c r="F619" s="16">
        <v>290000</v>
      </c>
    </row>
    <row r="620" spans="1:6" x14ac:dyDescent="0.2">
      <c r="A620" s="8" t="s">
        <v>720</v>
      </c>
      <c r="B620" s="9">
        <v>16710132640</v>
      </c>
      <c r="C620" s="10">
        <f ca="1">TODAY()-1864</f>
        <v>42357</v>
      </c>
      <c r="D620" s="10" t="s">
        <v>2302</v>
      </c>
      <c r="E620" s="12" t="s">
        <v>3532</v>
      </c>
      <c r="F620" s="16">
        <v>405000</v>
      </c>
    </row>
    <row r="621" spans="1:6" x14ac:dyDescent="0.2">
      <c r="A621" s="8" t="s">
        <v>1351</v>
      </c>
      <c r="B621" s="9">
        <v>16809057065</v>
      </c>
      <c r="C621" s="10">
        <f ca="1">TODAY()-511</f>
        <v>43710</v>
      </c>
      <c r="D621" s="10" t="s">
        <v>3402</v>
      </c>
      <c r="E621" s="12" t="s">
        <v>3523</v>
      </c>
      <c r="F621" s="16">
        <v>500000</v>
      </c>
    </row>
    <row r="622" spans="1:6" x14ac:dyDescent="0.2">
      <c r="A622" s="8" t="s">
        <v>985</v>
      </c>
      <c r="B622" s="9">
        <v>18007149700</v>
      </c>
      <c r="C622" s="10">
        <f ca="1">TODAY()-3603</f>
        <v>40618</v>
      </c>
      <c r="D622" s="10" t="s">
        <v>2290</v>
      </c>
      <c r="E622" s="12" t="s">
        <v>3518</v>
      </c>
      <c r="F622" s="16">
        <v>380000</v>
      </c>
    </row>
    <row r="623" spans="1:6" x14ac:dyDescent="0.2">
      <c r="A623" s="8" t="s">
        <v>955</v>
      </c>
      <c r="B623" s="9">
        <v>18604274286</v>
      </c>
      <c r="C623" s="10">
        <f ca="1">TODAY()-3596</f>
        <v>40625</v>
      </c>
      <c r="D623" s="10" t="s">
        <v>3380</v>
      </c>
      <c r="E623" s="12" t="s">
        <v>3475</v>
      </c>
      <c r="F623" s="16">
        <v>380000</v>
      </c>
    </row>
    <row r="624" spans="1:6" x14ac:dyDescent="0.2">
      <c r="A624" s="8" t="s">
        <v>1949</v>
      </c>
      <c r="B624" s="9">
        <v>18801074002</v>
      </c>
      <c r="C624" s="10">
        <f ca="1">TODAY()-2277</f>
        <v>41944</v>
      </c>
      <c r="D624" s="10" t="s">
        <v>2297</v>
      </c>
      <c r="E624" s="12" t="s">
        <v>3529</v>
      </c>
      <c r="F624" s="16">
        <v>305000</v>
      </c>
    </row>
    <row r="625" spans="1:6" x14ac:dyDescent="0.2">
      <c r="A625" s="8" t="s">
        <v>1963</v>
      </c>
      <c r="B625" s="9">
        <v>27611268391</v>
      </c>
      <c r="C625" s="10">
        <f ca="1">TODAY()-4436</f>
        <v>39785</v>
      </c>
      <c r="D625" s="10" t="s">
        <v>3396</v>
      </c>
      <c r="E625" s="12" t="s">
        <v>3452</v>
      </c>
      <c r="F625" s="16">
        <v>285000</v>
      </c>
    </row>
    <row r="626" spans="1:6" x14ac:dyDescent="0.2">
      <c r="A626" s="8" t="s">
        <v>1074</v>
      </c>
      <c r="B626" s="9">
        <v>17408225713</v>
      </c>
      <c r="C626" s="10">
        <f ca="1">TODAY()-2518</f>
        <v>41703</v>
      </c>
      <c r="D626" s="10" t="s">
        <v>2289</v>
      </c>
      <c r="E626" s="12" t="s">
        <v>3497</v>
      </c>
      <c r="F626" s="16">
        <v>465000</v>
      </c>
    </row>
    <row r="627" spans="1:6" x14ac:dyDescent="0.2">
      <c r="A627" s="8" t="s">
        <v>1457</v>
      </c>
      <c r="B627" s="9">
        <v>18606148497</v>
      </c>
      <c r="C627" s="10">
        <f ca="1">TODAY()-1784</f>
        <v>42437</v>
      </c>
      <c r="D627" s="10" t="s">
        <v>3400</v>
      </c>
      <c r="E627" s="12" t="s">
        <v>3552</v>
      </c>
      <c r="F627" s="16">
        <v>225000</v>
      </c>
    </row>
    <row r="628" spans="1:6" x14ac:dyDescent="0.2">
      <c r="A628" s="8" t="s">
        <v>1438</v>
      </c>
      <c r="B628" s="9">
        <v>18804076917</v>
      </c>
      <c r="C628" s="10">
        <f ca="1">TODAY()-2192</f>
        <v>42029</v>
      </c>
      <c r="D628" s="10" t="s">
        <v>3392</v>
      </c>
      <c r="E628" s="12" t="s">
        <v>3451</v>
      </c>
      <c r="F628" s="16">
        <v>310000</v>
      </c>
    </row>
    <row r="629" spans="1:6" x14ac:dyDescent="0.2">
      <c r="A629" s="8" t="s">
        <v>752</v>
      </c>
      <c r="B629" s="9">
        <v>18712075407</v>
      </c>
      <c r="C629" s="10">
        <f ca="1">TODAY()-2668</f>
        <v>41553</v>
      </c>
      <c r="D629" s="10" t="s">
        <v>3396</v>
      </c>
      <c r="E629" s="12" t="s">
        <v>3558</v>
      </c>
      <c r="F629" s="16">
        <v>345000</v>
      </c>
    </row>
    <row r="630" spans="1:6" x14ac:dyDescent="0.2">
      <c r="A630" s="8" t="s">
        <v>1716</v>
      </c>
      <c r="B630" s="9">
        <v>16504259856</v>
      </c>
      <c r="C630" s="10">
        <f ca="1">TODAY()-440</f>
        <v>43781</v>
      </c>
      <c r="D630" s="10" t="s">
        <v>3402</v>
      </c>
      <c r="E630" s="12" t="s">
        <v>3449</v>
      </c>
      <c r="F630" s="16">
        <v>450000</v>
      </c>
    </row>
    <row r="631" spans="1:6" x14ac:dyDescent="0.2">
      <c r="A631" s="8" t="s">
        <v>561</v>
      </c>
      <c r="B631" s="9">
        <v>18012131294</v>
      </c>
      <c r="C631" s="10">
        <f ca="1">TODAY()-747</f>
        <v>43474</v>
      </c>
      <c r="D631" s="10" t="s">
        <v>3396</v>
      </c>
      <c r="E631" s="12" t="s">
        <v>3556</v>
      </c>
      <c r="F631" s="16">
        <v>335000</v>
      </c>
    </row>
    <row r="632" spans="1:6" x14ac:dyDescent="0.2">
      <c r="A632" s="8" t="s">
        <v>1168</v>
      </c>
      <c r="B632" s="9">
        <v>28010067275</v>
      </c>
      <c r="C632" s="10">
        <f ca="1">TODAY()-611</f>
        <v>43610</v>
      </c>
      <c r="D632" s="10" t="s">
        <v>3402</v>
      </c>
      <c r="E632" s="12" t="s">
        <v>3497</v>
      </c>
      <c r="F632" s="16">
        <v>335000</v>
      </c>
    </row>
    <row r="633" spans="1:6" x14ac:dyDescent="0.2">
      <c r="A633" s="8" t="s">
        <v>2081</v>
      </c>
      <c r="B633" s="9">
        <v>16907205440</v>
      </c>
      <c r="C633" s="10">
        <f ca="1">TODAY()-2825</f>
        <v>41396</v>
      </c>
      <c r="D633" s="10" t="s">
        <v>2293</v>
      </c>
      <c r="E633" s="12" t="s">
        <v>3488</v>
      </c>
      <c r="F633" s="16">
        <v>440000</v>
      </c>
    </row>
    <row r="634" spans="1:6" x14ac:dyDescent="0.2">
      <c r="A634" s="8" t="s">
        <v>1422</v>
      </c>
      <c r="B634" s="9">
        <v>27601237068</v>
      </c>
      <c r="C634" s="10">
        <f ca="1">TODAY()-734</f>
        <v>43487</v>
      </c>
      <c r="D634" s="10" t="s">
        <v>3400</v>
      </c>
      <c r="E634" s="12" t="s">
        <v>3518</v>
      </c>
      <c r="F634" s="16">
        <v>450000</v>
      </c>
    </row>
    <row r="635" spans="1:6" x14ac:dyDescent="0.2">
      <c r="A635" s="8" t="s">
        <v>1809</v>
      </c>
      <c r="B635" s="9">
        <v>18212066431</v>
      </c>
      <c r="C635" s="10">
        <f ca="1">TODAY()-4518</f>
        <v>39703</v>
      </c>
      <c r="D635" s="10" t="s">
        <v>2284</v>
      </c>
      <c r="E635" s="12" t="s">
        <v>3529</v>
      </c>
      <c r="F635" s="16">
        <v>330000</v>
      </c>
    </row>
    <row r="636" spans="1:6" x14ac:dyDescent="0.2">
      <c r="A636" s="8" t="s">
        <v>482</v>
      </c>
      <c r="B636" s="9">
        <v>28012209648</v>
      </c>
      <c r="C636" s="10">
        <f ca="1">TODAY()-25</f>
        <v>44196</v>
      </c>
      <c r="D636" s="10" t="s">
        <v>3383</v>
      </c>
      <c r="E636" s="12" t="s">
        <v>3467</v>
      </c>
      <c r="F636" s="16">
        <v>320000</v>
      </c>
    </row>
    <row r="637" spans="1:6" x14ac:dyDescent="0.2">
      <c r="A637" s="8" t="s">
        <v>2175</v>
      </c>
      <c r="B637" s="9">
        <v>18105084684</v>
      </c>
      <c r="C637" s="10">
        <f ca="1">TODAY()-4180</f>
        <v>40041</v>
      </c>
      <c r="D637" s="10" t="s">
        <v>3399</v>
      </c>
      <c r="E637" s="12" t="s">
        <v>3505</v>
      </c>
      <c r="F637" s="16">
        <v>245000</v>
      </c>
    </row>
    <row r="638" spans="1:6" x14ac:dyDescent="0.2">
      <c r="A638" s="8" t="s">
        <v>1738</v>
      </c>
      <c r="B638" s="9">
        <v>16409103992</v>
      </c>
      <c r="C638" s="10">
        <f ca="1">TODAY()-1066</f>
        <v>43155</v>
      </c>
      <c r="D638" s="10" t="s">
        <v>3390</v>
      </c>
      <c r="E638" s="12" t="s">
        <v>3559</v>
      </c>
      <c r="F638" s="16">
        <v>270000</v>
      </c>
    </row>
    <row r="639" spans="1:6" x14ac:dyDescent="0.2">
      <c r="A639" s="8" t="s">
        <v>2283</v>
      </c>
      <c r="B639" s="9">
        <v>26005199138</v>
      </c>
      <c r="C639" s="10">
        <f ca="1">TODAY()-4288</f>
        <v>39933</v>
      </c>
      <c r="D639" s="10" t="s">
        <v>3381</v>
      </c>
      <c r="E639" s="12" t="s">
        <v>3458</v>
      </c>
      <c r="F639" s="16">
        <v>450000</v>
      </c>
    </row>
    <row r="640" spans="1:6" x14ac:dyDescent="0.2">
      <c r="A640" s="8" t="s">
        <v>1503</v>
      </c>
      <c r="B640" s="9">
        <v>17308158730</v>
      </c>
      <c r="C640" s="10">
        <f ca="1">TODAY()-2255</f>
        <v>41966</v>
      </c>
      <c r="D640" s="10" t="s">
        <v>3381</v>
      </c>
      <c r="E640" s="12" t="s">
        <v>3561</v>
      </c>
      <c r="F640" s="16">
        <v>395000</v>
      </c>
    </row>
    <row r="641" spans="1:6" x14ac:dyDescent="0.2">
      <c r="A641" s="8" t="s">
        <v>1827</v>
      </c>
      <c r="B641" s="9">
        <v>27010092519</v>
      </c>
      <c r="C641" s="10">
        <f ca="1">TODAY()-2236</f>
        <v>41985</v>
      </c>
      <c r="D641" s="10" t="s">
        <v>2291</v>
      </c>
      <c r="E641" s="12" t="s">
        <v>3499</v>
      </c>
      <c r="F641" s="16">
        <v>230000</v>
      </c>
    </row>
    <row r="642" spans="1:6" x14ac:dyDescent="0.2">
      <c r="A642" s="8" t="s">
        <v>1426</v>
      </c>
      <c r="B642" s="9">
        <v>27610287609</v>
      </c>
      <c r="C642" s="10">
        <f ca="1">TODAY()-2933</f>
        <v>41288</v>
      </c>
      <c r="D642" s="10" t="s">
        <v>2298</v>
      </c>
      <c r="E642" s="12" t="s">
        <v>3417</v>
      </c>
      <c r="F642" s="16">
        <v>440000</v>
      </c>
    </row>
    <row r="643" spans="1:6" x14ac:dyDescent="0.2">
      <c r="A643" s="8" t="s">
        <v>1376</v>
      </c>
      <c r="B643" s="9">
        <v>18305254956</v>
      </c>
      <c r="C643" s="10">
        <f ca="1">TODAY()-4446</f>
        <v>39775</v>
      </c>
      <c r="D643" s="10" t="s">
        <v>3378</v>
      </c>
      <c r="E643" s="12" t="s">
        <v>3554</v>
      </c>
      <c r="F643" s="16">
        <v>445000</v>
      </c>
    </row>
    <row r="644" spans="1:6" x14ac:dyDescent="0.2">
      <c r="A644" s="8" t="s">
        <v>1625</v>
      </c>
      <c r="B644" s="9">
        <v>16801064038</v>
      </c>
      <c r="C644" s="10">
        <f ca="1">TODAY()-3784</f>
        <v>40437</v>
      </c>
      <c r="D644" s="10" t="s">
        <v>3399</v>
      </c>
      <c r="E644" s="12" t="s">
        <v>3432</v>
      </c>
      <c r="F644" s="16">
        <v>180000</v>
      </c>
    </row>
    <row r="645" spans="1:6" x14ac:dyDescent="0.2">
      <c r="A645" s="8" t="s">
        <v>845</v>
      </c>
      <c r="B645" s="9">
        <v>27603231921</v>
      </c>
      <c r="C645" s="10">
        <f ca="1">TODAY()-2826</f>
        <v>41395</v>
      </c>
      <c r="D645" s="10" t="s">
        <v>2292</v>
      </c>
      <c r="E645" s="12" t="s">
        <v>3493</v>
      </c>
      <c r="F645" s="16">
        <v>460000</v>
      </c>
    </row>
    <row r="646" spans="1:6" x14ac:dyDescent="0.2">
      <c r="A646" s="8" t="s">
        <v>524</v>
      </c>
      <c r="B646" s="9">
        <v>18107176230</v>
      </c>
      <c r="C646" s="10">
        <f ca="1">TODAY()-1898</f>
        <v>42323</v>
      </c>
      <c r="D646" s="10" t="s">
        <v>2293</v>
      </c>
      <c r="E646" s="12" t="s">
        <v>3540</v>
      </c>
      <c r="F646" s="16">
        <v>355000</v>
      </c>
    </row>
    <row r="647" spans="1:6" x14ac:dyDescent="0.2">
      <c r="A647" s="8" t="s">
        <v>1362</v>
      </c>
      <c r="B647" s="9">
        <v>18601079268</v>
      </c>
      <c r="C647" s="10">
        <f ca="1">TODAY()-1908</f>
        <v>42313</v>
      </c>
      <c r="D647" s="10" t="s">
        <v>2304</v>
      </c>
      <c r="E647" s="12" t="s">
        <v>3532</v>
      </c>
      <c r="F647" s="16">
        <v>475000</v>
      </c>
    </row>
    <row r="648" spans="1:6" x14ac:dyDescent="0.2">
      <c r="A648" s="8" t="s">
        <v>1319</v>
      </c>
      <c r="B648" s="9">
        <v>28205092697</v>
      </c>
      <c r="C648" s="10">
        <f ca="1">TODAY()-2101</f>
        <v>42120</v>
      </c>
      <c r="D648" s="10" t="s">
        <v>2286</v>
      </c>
      <c r="E648" s="12" t="s">
        <v>3465</v>
      </c>
      <c r="F648" s="16">
        <v>460000</v>
      </c>
    </row>
    <row r="649" spans="1:6" x14ac:dyDescent="0.2">
      <c r="A649" s="8" t="s">
        <v>1118</v>
      </c>
      <c r="B649" s="9">
        <v>17612111249</v>
      </c>
      <c r="C649" s="10">
        <f ca="1">TODAY()-3463</f>
        <v>40758</v>
      </c>
      <c r="D649" s="10" t="s">
        <v>2287</v>
      </c>
      <c r="E649" s="12" t="s">
        <v>3471</v>
      </c>
      <c r="F649" s="16">
        <v>195000</v>
      </c>
    </row>
    <row r="650" spans="1:6" x14ac:dyDescent="0.2">
      <c r="A650" s="8" t="s">
        <v>670</v>
      </c>
      <c r="B650" s="9">
        <v>27501204372</v>
      </c>
      <c r="C650" s="10">
        <f ca="1">TODAY()-4088</f>
        <v>40133</v>
      </c>
      <c r="D650" s="10" t="s">
        <v>2290</v>
      </c>
      <c r="E650" s="12" t="s">
        <v>3463</v>
      </c>
      <c r="F650" s="16">
        <v>395000</v>
      </c>
    </row>
    <row r="651" spans="1:6" x14ac:dyDescent="0.2">
      <c r="A651" s="8" t="s">
        <v>1206</v>
      </c>
      <c r="B651" s="9">
        <v>28412082705</v>
      </c>
      <c r="C651" s="10">
        <f ca="1">TODAY()-53</f>
        <v>44168</v>
      </c>
      <c r="D651" s="10" t="s">
        <v>2296</v>
      </c>
      <c r="E651" s="12" t="s">
        <v>3492</v>
      </c>
      <c r="F651" s="16">
        <v>490000</v>
      </c>
    </row>
    <row r="652" spans="1:6" x14ac:dyDescent="0.2">
      <c r="A652" s="8" t="s">
        <v>1957</v>
      </c>
      <c r="B652" s="9">
        <v>18202173433</v>
      </c>
      <c r="C652" s="10">
        <f ca="1">TODAY()-3624</f>
        <v>40597</v>
      </c>
      <c r="D652" s="10" t="s">
        <v>3380</v>
      </c>
      <c r="E652" s="12" t="s">
        <v>3532</v>
      </c>
      <c r="F652" s="16">
        <v>250000</v>
      </c>
    </row>
    <row r="653" spans="1:6" x14ac:dyDescent="0.2">
      <c r="A653" s="8" t="s">
        <v>1839</v>
      </c>
      <c r="B653" s="9">
        <v>27405258989</v>
      </c>
      <c r="C653" s="10">
        <f ca="1">TODAY()-3428</f>
        <v>40793</v>
      </c>
      <c r="D653" s="10" t="s">
        <v>2301</v>
      </c>
      <c r="E653" s="12" t="s">
        <v>3526</v>
      </c>
      <c r="F653" s="16">
        <v>360000</v>
      </c>
    </row>
    <row r="654" spans="1:6" x14ac:dyDescent="0.2">
      <c r="A654" s="8" t="s">
        <v>1782</v>
      </c>
      <c r="B654" s="9">
        <v>26110283286</v>
      </c>
      <c r="C654" s="10">
        <f ca="1">TODAY()-2529</f>
        <v>41692</v>
      </c>
      <c r="D654" s="10" t="s">
        <v>3391</v>
      </c>
      <c r="E654" s="12" t="s">
        <v>3391</v>
      </c>
      <c r="F654" s="16">
        <v>225000</v>
      </c>
    </row>
    <row r="655" spans="1:6" x14ac:dyDescent="0.2">
      <c r="A655" s="8" t="s">
        <v>492</v>
      </c>
      <c r="B655" s="9">
        <v>28805066083</v>
      </c>
      <c r="C655" s="10">
        <f ca="1">TODAY()-1826</f>
        <v>42395</v>
      </c>
      <c r="D655" s="10" t="s">
        <v>2299</v>
      </c>
      <c r="E655" s="12" t="s">
        <v>3431</v>
      </c>
      <c r="F655" s="16">
        <v>240000</v>
      </c>
    </row>
    <row r="656" spans="1:6" x14ac:dyDescent="0.2">
      <c r="A656" s="8" t="s">
        <v>1005</v>
      </c>
      <c r="B656" s="9">
        <v>16601218808</v>
      </c>
      <c r="C656" s="10">
        <f ca="1">TODAY()-4804</f>
        <v>39417</v>
      </c>
      <c r="D656" s="10" t="s">
        <v>2292</v>
      </c>
      <c r="E656" s="12" t="s">
        <v>2292</v>
      </c>
      <c r="F656" s="16">
        <v>410000</v>
      </c>
    </row>
    <row r="657" spans="1:6" x14ac:dyDescent="0.2">
      <c r="A657" s="8" t="s">
        <v>1210</v>
      </c>
      <c r="B657" s="9">
        <v>28411067852</v>
      </c>
      <c r="C657" s="10">
        <f ca="1">TODAY()-1998</f>
        <v>42223</v>
      </c>
      <c r="D657" s="10" t="s">
        <v>3400</v>
      </c>
      <c r="E657" s="12" t="s">
        <v>3430</v>
      </c>
      <c r="F657" s="16">
        <v>275000</v>
      </c>
    </row>
    <row r="658" spans="1:6" x14ac:dyDescent="0.2">
      <c r="A658" s="8" t="s">
        <v>1172</v>
      </c>
      <c r="B658" s="9">
        <v>18908084914</v>
      </c>
      <c r="C658" s="10">
        <f ca="1">TODAY()-502</f>
        <v>43719</v>
      </c>
      <c r="D658" s="10" t="s">
        <v>3391</v>
      </c>
      <c r="E658" s="12" t="s">
        <v>3391</v>
      </c>
      <c r="F658" s="16">
        <v>300000</v>
      </c>
    </row>
    <row r="659" spans="1:6" x14ac:dyDescent="0.2">
      <c r="A659" s="8" t="s">
        <v>2009</v>
      </c>
      <c r="B659" s="9">
        <v>26410077723</v>
      </c>
      <c r="C659" s="10">
        <f ca="1">TODAY()-879</f>
        <v>43342</v>
      </c>
      <c r="D659" s="10" t="s">
        <v>2291</v>
      </c>
      <c r="E659" s="12" t="s">
        <v>3445</v>
      </c>
      <c r="F659" s="16">
        <v>265000</v>
      </c>
    </row>
    <row r="660" spans="1:6" x14ac:dyDescent="0.2">
      <c r="A660" s="8" t="s">
        <v>502</v>
      </c>
      <c r="B660" s="9">
        <v>16206167207</v>
      </c>
      <c r="C660" s="10">
        <f ca="1">TODAY()-1927</f>
        <v>42294</v>
      </c>
      <c r="D660" s="10" t="s">
        <v>3380</v>
      </c>
      <c r="E660" s="12" t="s">
        <v>3380</v>
      </c>
      <c r="F660" s="16">
        <v>180000</v>
      </c>
    </row>
    <row r="661" spans="1:6" x14ac:dyDescent="0.2">
      <c r="A661" s="8" t="s">
        <v>1315</v>
      </c>
      <c r="B661" s="9">
        <v>16211075322</v>
      </c>
      <c r="C661" s="10">
        <f ca="1">TODAY()-4535</f>
        <v>39686</v>
      </c>
      <c r="D661" s="10" t="s">
        <v>2286</v>
      </c>
      <c r="E661" s="12" t="s">
        <v>3465</v>
      </c>
      <c r="F661" s="16">
        <v>230000</v>
      </c>
    </row>
    <row r="662" spans="1:6" x14ac:dyDescent="0.2">
      <c r="A662" s="8" t="s">
        <v>1657</v>
      </c>
      <c r="B662" s="9">
        <v>17107104478</v>
      </c>
      <c r="C662" s="10">
        <f ca="1">TODAY()-2540</f>
        <v>41681</v>
      </c>
      <c r="D662" s="10" t="s">
        <v>2290</v>
      </c>
      <c r="E662" s="12" t="s">
        <v>2290</v>
      </c>
      <c r="F662" s="16">
        <v>275000</v>
      </c>
    </row>
    <row r="663" spans="1:6" x14ac:dyDescent="0.2">
      <c r="A663" s="8" t="s">
        <v>1278</v>
      </c>
      <c r="B663" s="9">
        <v>16212202839</v>
      </c>
      <c r="C663" s="10">
        <f ca="1">TODAY()-2169</f>
        <v>42052</v>
      </c>
      <c r="D663" s="10" t="s">
        <v>3379</v>
      </c>
      <c r="E663" s="12" t="s">
        <v>3498</v>
      </c>
      <c r="F663" s="16">
        <v>355000</v>
      </c>
    </row>
    <row r="664" spans="1:6" x14ac:dyDescent="0.2">
      <c r="A664" s="8" t="s">
        <v>1814</v>
      </c>
      <c r="B664" s="9">
        <v>17511226508</v>
      </c>
      <c r="C664" s="10">
        <f ca="1">TODAY()-1143</f>
        <v>43078</v>
      </c>
      <c r="D664" s="10" t="s">
        <v>3394</v>
      </c>
      <c r="E664" s="12" t="s">
        <v>3428</v>
      </c>
      <c r="F664" s="16">
        <v>225000</v>
      </c>
    </row>
    <row r="665" spans="1:6" x14ac:dyDescent="0.2">
      <c r="A665" s="8" t="s">
        <v>625</v>
      </c>
      <c r="B665" s="9">
        <v>28511017905</v>
      </c>
      <c r="C665" s="10">
        <f ca="1">TODAY()-4545</f>
        <v>39676</v>
      </c>
      <c r="D665" s="10" t="s">
        <v>2289</v>
      </c>
      <c r="E665" s="12" t="s">
        <v>3502</v>
      </c>
      <c r="F665" s="16">
        <v>310000</v>
      </c>
    </row>
    <row r="666" spans="1:6" x14ac:dyDescent="0.2">
      <c r="A666" s="8" t="s">
        <v>783</v>
      </c>
      <c r="B666" s="9">
        <v>27303195920</v>
      </c>
      <c r="C666" s="10">
        <f ca="1">TODAY()-4820</f>
        <v>39401</v>
      </c>
      <c r="D666" s="10" t="s">
        <v>2286</v>
      </c>
      <c r="E666" s="12" t="s">
        <v>2286</v>
      </c>
      <c r="F666" s="16">
        <v>250000</v>
      </c>
    </row>
    <row r="667" spans="1:6" x14ac:dyDescent="0.2">
      <c r="A667" s="8" t="s">
        <v>2256</v>
      </c>
      <c r="B667" s="9">
        <v>26005259930</v>
      </c>
      <c r="C667" s="10">
        <f ca="1">TODAY()-1245</f>
        <v>42976</v>
      </c>
      <c r="D667" s="10" t="s">
        <v>2288</v>
      </c>
      <c r="E667" s="12" t="s">
        <v>3411</v>
      </c>
      <c r="F667" s="16">
        <v>175000</v>
      </c>
    </row>
    <row r="668" spans="1:6" x14ac:dyDescent="0.2">
      <c r="A668" s="8" t="s">
        <v>1473</v>
      </c>
      <c r="B668" s="9">
        <v>28910188071</v>
      </c>
      <c r="C668" s="10">
        <f ca="1">TODAY()-3550</f>
        <v>40671</v>
      </c>
      <c r="D668" s="10" t="s">
        <v>3400</v>
      </c>
      <c r="E668" s="12" t="s">
        <v>3444</v>
      </c>
      <c r="F668" s="16">
        <v>410000</v>
      </c>
    </row>
    <row r="669" spans="1:6" x14ac:dyDescent="0.2">
      <c r="A669" s="8" t="s">
        <v>680</v>
      </c>
      <c r="B669" s="9">
        <v>26001175393</v>
      </c>
      <c r="C669" s="10">
        <f ca="1">TODAY()-1675</f>
        <v>42546</v>
      </c>
      <c r="D669" s="10" t="s">
        <v>3383</v>
      </c>
      <c r="E669" s="12" t="s">
        <v>3513</v>
      </c>
      <c r="F669" s="16">
        <v>350000</v>
      </c>
    </row>
    <row r="670" spans="1:6" x14ac:dyDescent="0.2">
      <c r="A670" s="8" t="s">
        <v>595</v>
      </c>
      <c r="B670" s="9">
        <v>17406127129</v>
      </c>
      <c r="C670" s="10">
        <f ca="1">TODAY()-2951</f>
        <v>41270</v>
      </c>
      <c r="D670" s="10" t="s">
        <v>3391</v>
      </c>
      <c r="E670" s="12" t="s">
        <v>3407</v>
      </c>
      <c r="F670" s="16">
        <v>250000</v>
      </c>
    </row>
    <row r="671" spans="1:6" x14ac:dyDescent="0.2">
      <c r="A671" s="8" t="s">
        <v>815</v>
      </c>
      <c r="B671" s="9">
        <v>16307271848</v>
      </c>
      <c r="C671" s="10">
        <f ca="1">TODAY()-571</f>
        <v>43650</v>
      </c>
      <c r="D671" s="10" t="s">
        <v>3392</v>
      </c>
      <c r="E671" s="12" t="s">
        <v>3539</v>
      </c>
      <c r="F671" s="16">
        <v>355000</v>
      </c>
    </row>
    <row r="672" spans="1:6" x14ac:dyDescent="0.2">
      <c r="A672" s="8" t="s">
        <v>922</v>
      </c>
      <c r="B672" s="9">
        <v>26402157931</v>
      </c>
      <c r="C672" s="10">
        <f ca="1">TODAY()-884</f>
        <v>43337</v>
      </c>
      <c r="D672" s="10" t="s">
        <v>3386</v>
      </c>
      <c r="E672" s="12" t="s">
        <v>3522</v>
      </c>
      <c r="F672" s="16">
        <v>190000</v>
      </c>
    </row>
    <row r="673" spans="1:6" x14ac:dyDescent="0.2">
      <c r="A673" s="8" t="s">
        <v>1673</v>
      </c>
      <c r="B673" s="9">
        <v>16910241772</v>
      </c>
      <c r="C673" s="10">
        <f ca="1">TODAY()-2966</f>
        <v>41255</v>
      </c>
      <c r="D673" s="10" t="s">
        <v>3383</v>
      </c>
      <c r="E673" s="12" t="s">
        <v>3504</v>
      </c>
      <c r="F673" s="16">
        <v>255000</v>
      </c>
    </row>
    <row r="674" spans="1:6" x14ac:dyDescent="0.2">
      <c r="A674" s="8" t="s">
        <v>2231</v>
      </c>
      <c r="B674" s="9">
        <v>26812029940</v>
      </c>
      <c r="C674" s="10">
        <f ca="1">TODAY()-4394</f>
        <v>39827</v>
      </c>
      <c r="D674" s="10" t="s">
        <v>2288</v>
      </c>
      <c r="E674" s="12" t="s">
        <v>3499</v>
      </c>
      <c r="F674" s="16">
        <v>450000</v>
      </c>
    </row>
    <row r="675" spans="1:6" x14ac:dyDescent="0.2">
      <c r="A675" s="8" t="s">
        <v>1618</v>
      </c>
      <c r="B675" s="9">
        <v>17902266737</v>
      </c>
      <c r="C675" s="10">
        <f ca="1">TODAY()-3696</f>
        <v>40525</v>
      </c>
      <c r="D675" s="10" t="s">
        <v>3400</v>
      </c>
      <c r="E675" s="12" t="s">
        <v>3446</v>
      </c>
      <c r="F675" s="16">
        <v>355000</v>
      </c>
    </row>
    <row r="676" spans="1:6" x14ac:dyDescent="0.2">
      <c r="A676" s="8" t="s">
        <v>2119</v>
      </c>
      <c r="B676" s="9">
        <v>16512113984</v>
      </c>
      <c r="C676" s="10">
        <f ca="1">TODAY()-808</f>
        <v>43413</v>
      </c>
      <c r="D676" s="10" t="s">
        <v>2286</v>
      </c>
      <c r="E676" s="12" t="s">
        <v>3437</v>
      </c>
      <c r="F676" s="16">
        <v>260000</v>
      </c>
    </row>
    <row r="677" spans="1:6" x14ac:dyDescent="0.2">
      <c r="A677" s="8" t="s">
        <v>999</v>
      </c>
      <c r="B677" s="9">
        <v>26202177480</v>
      </c>
      <c r="C677" s="10">
        <f ca="1">TODAY()-667</f>
        <v>43554</v>
      </c>
      <c r="D677" s="10" t="s">
        <v>2297</v>
      </c>
      <c r="E677" s="12" t="s">
        <v>2297</v>
      </c>
      <c r="F677" s="16">
        <v>200000</v>
      </c>
    </row>
    <row r="678" spans="1:6" x14ac:dyDescent="0.2">
      <c r="A678" s="8" t="s">
        <v>655</v>
      </c>
      <c r="B678" s="9">
        <v>18602257630</v>
      </c>
      <c r="C678" s="10">
        <f ca="1">TODAY()-1891</f>
        <v>42330</v>
      </c>
      <c r="D678" s="10" t="s">
        <v>2303</v>
      </c>
      <c r="E678" s="12" t="s">
        <v>3535</v>
      </c>
      <c r="F678" s="16">
        <v>375000</v>
      </c>
    </row>
    <row r="679" spans="1:6" x14ac:dyDescent="0.2">
      <c r="A679" s="8" t="s">
        <v>1135</v>
      </c>
      <c r="B679" s="9">
        <v>28409181349</v>
      </c>
      <c r="C679" s="10">
        <f ca="1">TODAY()-552</f>
        <v>43669</v>
      </c>
      <c r="D679" s="10" t="s">
        <v>3395</v>
      </c>
      <c r="E679" s="12" t="s">
        <v>3395</v>
      </c>
      <c r="F679" s="16">
        <v>340000</v>
      </c>
    </row>
    <row r="680" spans="1:6" x14ac:dyDescent="0.2">
      <c r="A680" s="8" t="s">
        <v>2058</v>
      </c>
      <c r="B680" s="9">
        <v>28110275764</v>
      </c>
      <c r="C680" s="10">
        <f ca="1">TODAY()-4609</f>
        <v>39612</v>
      </c>
      <c r="D680" s="10" t="s">
        <v>2290</v>
      </c>
      <c r="E680" s="12" t="s">
        <v>3447</v>
      </c>
      <c r="F680" s="16">
        <v>500000</v>
      </c>
    </row>
    <row r="681" spans="1:6" x14ac:dyDescent="0.2">
      <c r="A681" s="8" t="s">
        <v>1039</v>
      </c>
      <c r="B681" s="9">
        <v>17302015425</v>
      </c>
      <c r="C681" s="10">
        <f ca="1">TODAY()-4061</f>
        <v>40160</v>
      </c>
      <c r="D681" s="10" t="s">
        <v>2288</v>
      </c>
      <c r="E681" s="12" t="s">
        <v>3458</v>
      </c>
      <c r="F681" s="16">
        <v>330000</v>
      </c>
    </row>
    <row r="682" spans="1:6" x14ac:dyDescent="0.2">
      <c r="A682" s="8" t="s">
        <v>983</v>
      </c>
      <c r="B682" s="9">
        <v>16810282092</v>
      </c>
      <c r="C682" s="10">
        <f ca="1">TODAY()-4409</f>
        <v>39812</v>
      </c>
      <c r="D682" s="10" t="s">
        <v>3401</v>
      </c>
      <c r="E682" s="12" t="s">
        <v>3416</v>
      </c>
      <c r="F682" s="16">
        <v>430000</v>
      </c>
    </row>
    <row r="683" spans="1:6" x14ac:dyDescent="0.2">
      <c r="A683" s="8" t="s">
        <v>1865</v>
      </c>
      <c r="B683" s="9">
        <v>16509226893</v>
      </c>
      <c r="C683" s="10">
        <f ca="1">TODAY()-361</f>
        <v>43860</v>
      </c>
      <c r="D683" s="10" t="s">
        <v>2293</v>
      </c>
      <c r="E683" s="12" t="s">
        <v>2293</v>
      </c>
      <c r="F683" s="16">
        <v>380000</v>
      </c>
    </row>
    <row r="684" spans="1:6" x14ac:dyDescent="0.2">
      <c r="A684" s="8" t="s">
        <v>1982</v>
      </c>
      <c r="B684" s="9">
        <v>29002064624</v>
      </c>
      <c r="C684" s="10">
        <f ca="1">TODAY()-3157</f>
        <v>41064</v>
      </c>
      <c r="D684" s="10" t="s">
        <v>3402</v>
      </c>
      <c r="E684" s="12" t="s">
        <v>3493</v>
      </c>
      <c r="F684" s="16">
        <v>265000</v>
      </c>
    </row>
    <row r="685" spans="1:6" x14ac:dyDescent="0.2">
      <c r="A685" s="8" t="s">
        <v>778</v>
      </c>
      <c r="B685" s="9">
        <v>16305254966</v>
      </c>
      <c r="C685" s="10">
        <f ca="1">TODAY()-4685</f>
        <v>39536</v>
      </c>
      <c r="D685" s="10" t="s">
        <v>2299</v>
      </c>
      <c r="E685" s="12" t="s">
        <v>3478</v>
      </c>
      <c r="F685" s="16">
        <v>320000</v>
      </c>
    </row>
    <row r="686" spans="1:6" x14ac:dyDescent="0.2">
      <c r="A686" s="8" t="s">
        <v>1594</v>
      </c>
      <c r="B686" s="9">
        <v>16103059771</v>
      </c>
      <c r="C686" s="10">
        <f ca="1">TODAY()-2653</f>
        <v>41568</v>
      </c>
      <c r="D686" s="10" t="s">
        <v>3378</v>
      </c>
      <c r="E686" s="12" t="s">
        <v>3468</v>
      </c>
      <c r="F686" s="16">
        <v>290000</v>
      </c>
    </row>
    <row r="687" spans="1:6" x14ac:dyDescent="0.2">
      <c r="A687" s="8" t="s">
        <v>1857</v>
      </c>
      <c r="B687" s="9">
        <v>28411239755</v>
      </c>
      <c r="C687" s="10">
        <f ca="1">TODAY()-4530</f>
        <v>39691</v>
      </c>
      <c r="D687" s="10" t="s">
        <v>2299</v>
      </c>
      <c r="E687" s="12" t="s">
        <v>3515</v>
      </c>
      <c r="F687" s="16">
        <v>360000</v>
      </c>
    </row>
    <row r="688" spans="1:6" x14ac:dyDescent="0.2">
      <c r="A688" s="8" t="s">
        <v>2011</v>
      </c>
      <c r="B688" s="9">
        <v>18911218578</v>
      </c>
      <c r="C688" s="10">
        <f ca="1">TODAY()-4036</f>
        <v>40185</v>
      </c>
      <c r="D688" s="10" t="s">
        <v>2290</v>
      </c>
      <c r="E688" s="12" t="s">
        <v>3422</v>
      </c>
      <c r="F688" s="16">
        <v>260000</v>
      </c>
    </row>
    <row r="689" spans="1:6" x14ac:dyDescent="0.2">
      <c r="A689" s="8" t="s">
        <v>2253</v>
      </c>
      <c r="B689" s="9">
        <v>18812056299</v>
      </c>
      <c r="C689" s="10">
        <f ca="1">TODAY()-3708</f>
        <v>40513</v>
      </c>
      <c r="D689" s="10" t="s">
        <v>3402</v>
      </c>
      <c r="E689" s="12" t="s">
        <v>3445</v>
      </c>
      <c r="F689" s="16">
        <v>340000</v>
      </c>
    </row>
    <row r="690" spans="1:6" x14ac:dyDescent="0.2">
      <c r="A690" s="8" t="s">
        <v>904</v>
      </c>
      <c r="B690" s="9">
        <v>16710057399</v>
      </c>
      <c r="C690" s="10">
        <f ca="1">TODAY()-58</f>
        <v>44163</v>
      </c>
      <c r="D690" s="10" t="s">
        <v>3401</v>
      </c>
      <c r="E690" s="12" t="s">
        <v>3561</v>
      </c>
      <c r="F690" s="16">
        <v>480000</v>
      </c>
    </row>
    <row r="691" spans="1:6" x14ac:dyDescent="0.2">
      <c r="A691" s="8" t="s">
        <v>735</v>
      </c>
      <c r="B691" s="9">
        <v>26203193323</v>
      </c>
      <c r="C691" s="10">
        <f ca="1">TODAY()-3773</f>
        <v>40448</v>
      </c>
      <c r="D691" s="10" t="s">
        <v>2293</v>
      </c>
      <c r="E691" s="12" t="s">
        <v>3478</v>
      </c>
      <c r="F691" s="16">
        <v>455000</v>
      </c>
    </row>
    <row r="692" spans="1:6" x14ac:dyDescent="0.2">
      <c r="A692" s="8" t="s">
        <v>1164</v>
      </c>
      <c r="B692" s="9">
        <v>28609182570</v>
      </c>
      <c r="C692" s="10">
        <f ca="1">TODAY()-3416</f>
        <v>40805</v>
      </c>
      <c r="D692" s="10" t="s">
        <v>2291</v>
      </c>
      <c r="E692" s="12" t="s">
        <v>3453</v>
      </c>
      <c r="F692" s="16">
        <v>495000</v>
      </c>
    </row>
    <row r="693" spans="1:6" x14ac:dyDescent="0.2">
      <c r="A693" s="8" t="s">
        <v>1408</v>
      </c>
      <c r="B693" s="9">
        <v>26507252451</v>
      </c>
      <c r="C693" s="10">
        <f ca="1">TODAY()-3673</f>
        <v>40548</v>
      </c>
      <c r="D693" s="10" t="s">
        <v>3385</v>
      </c>
      <c r="E693" s="12" t="s">
        <v>3479</v>
      </c>
      <c r="F693" s="16">
        <v>365000</v>
      </c>
    </row>
    <row r="694" spans="1:6" x14ac:dyDescent="0.2">
      <c r="A694" s="8" t="s">
        <v>2024</v>
      </c>
      <c r="B694" s="9">
        <v>27508187710</v>
      </c>
      <c r="C694" s="10">
        <f ca="1">TODAY()-4455</f>
        <v>39766</v>
      </c>
      <c r="D694" s="10" t="s">
        <v>3394</v>
      </c>
      <c r="E694" s="12" t="s">
        <v>3436</v>
      </c>
      <c r="F694" s="16">
        <v>340000</v>
      </c>
    </row>
    <row r="695" spans="1:6" x14ac:dyDescent="0.2">
      <c r="A695" s="8" t="s">
        <v>2033</v>
      </c>
      <c r="B695" s="9">
        <v>17106075815</v>
      </c>
      <c r="C695" s="10">
        <f ca="1">TODAY()-1776</f>
        <v>42445</v>
      </c>
      <c r="D695" s="10" t="s">
        <v>3388</v>
      </c>
      <c r="E695" s="12" t="s">
        <v>3428</v>
      </c>
      <c r="F695" s="16">
        <v>300000</v>
      </c>
    </row>
    <row r="696" spans="1:6" x14ac:dyDescent="0.2">
      <c r="A696" s="8" t="s">
        <v>1175</v>
      </c>
      <c r="B696" s="9">
        <v>16109074685</v>
      </c>
      <c r="C696" s="10">
        <f ca="1">TODAY()-620</f>
        <v>43601</v>
      </c>
      <c r="D696" s="10" t="s">
        <v>3387</v>
      </c>
      <c r="E696" s="12" t="s">
        <v>3488</v>
      </c>
      <c r="F696" s="16">
        <v>215000</v>
      </c>
    </row>
    <row r="697" spans="1:6" x14ac:dyDescent="0.2">
      <c r="A697" s="8" t="s">
        <v>517</v>
      </c>
      <c r="B697" s="9">
        <v>18409218632</v>
      </c>
      <c r="C697" s="10">
        <f ca="1">TODAY()-4082</f>
        <v>40139</v>
      </c>
      <c r="D697" s="10" t="s">
        <v>2297</v>
      </c>
      <c r="E697" s="12" t="s">
        <v>2297</v>
      </c>
      <c r="F697" s="16">
        <v>185000</v>
      </c>
    </row>
    <row r="698" spans="1:6" x14ac:dyDescent="0.2">
      <c r="A698" s="8" t="s">
        <v>1901</v>
      </c>
      <c r="B698" s="9">
        <v>27407014704</v>
      </c>
      <c r="C698" s="10">
        <f ca="1">TODAY()-124</f>
        <v>44097</v>
      </c>
      <c r="D698" s="10" t="s">
        <v>2291</v>
      </c>
      <c r="E698" s="12" t="s">
        <v>3444</v>
      </c>
      <c r="F698" s="16">
        <v>410000</v>
      </c>
    </row>
    <row r="699" spans="1:6" x14ac:dyDescent="0.2">
      <c r="A699" s="8" t="s">
        <v>1912</v>
      </c>
      <c r="B699" s="9">
        <v>16710061995</v>
      </c>
      <c r="C699" s="10">
        <f ca="1">TODAY()-3770</f>
        <v>40451</v>
      </c>
      <c r="D699" s="10" t="s">
        <v>3402</v>
      </c>
      <c r="E699" s="12" t="s">
        <v>3478</v>
      </c>
      <c r="F699" s="16">
        <v>175000</v>
      </c>
    </row>
    <row r="700" spans="1:6" x14ac:dyDescent="0.2">
      <c r="A700" s="8" t="s">
        <v>871</v>
      </c>
      <c r="B700" s="9">
        <v>16612176212</v>
      </c>
      <c r="C700" s="10">
        <f ca="1">TODAY()-3397</f>
        <v>40824</v>
      </c>
      <c r="D700" s="10" t="s">
        <v>3386</v>
      </c>
      <c r="E700" s="12" t="s">
        <v>3528</v>
      </c>
      <c r="F700" s="16">
        <v>385000</v>
      </c>
    </row>
    <row r="701" spans="1:6" x14ac:dyDescent="0.2">
      <c r="A701" s="8" t="s">
        <v>2164</v>
      </c>
      <c r="B701" s="9">
        <v>26911259640</v>
      </c>
      <c r="C701" s="10">
        <f ca="1">TODAY()-3520</f>
        <v>40701</v>
      </c>
      <c r="D701" s="10" t="s">
        <v>2304</v>
      </c>
      <c r="E701" s="12" t="s">
        <v>3411</v>
      </c>
      <c r="F701" s="16">
        <v>290000</v>
      </c>
    </row>
    <row r="702" spans="1:6" x14ac:dyDescent="0.2">
      <c r="A702" s="8" t="s">
        <v>582</v>
      </c>
      <c r="B702" s="9">
        <v>16502086556</v>
      </c>
      <c r="C702" s="10">
        <f ca="1">TODAY()-1257</f>
        <v>42964</v>
      </c>
      <c r="D702" s="10" t="s">
        <v>2296</v>
      </c>
      <c r="E702" s="12" t="s">
        <v>3425</v>
      </c>
      <c r="F702" s="16">
        <v>235000</v>
      </c>
    </row>
    <row r="703" spans="1:6" x14ac:dyDescent="0.2">
      <c r="A703" s="8" t="s">
        <v>1978</v>
      </c>
      <c r="B703" s="9">
        <v>26011269217</v>
      </c>
      <c r="C703" s="10">
        <f ca="1">TODAY()-3770</f>
        <v>40451</v>
      </c>
      <c r="D703" s="10" t="s">
        <v>2285</v>
      </c>
      <c r="E703" s="12" t="s">
        <v>3517</v>
      </c>
      <c r="F703" s="16">
        <v>295000</v>
      </c>
    </row>
    <row r="704" spans="1:6" x14ac:dyDescent="0.2">
      <c r="A704" s="8" t="s">
        <v>2197</v>
      </c>
      <c r="B704" s="9">
        <v>17205064785</v>
      </c>
      <c r="C704" s="10">
        <f ca="1">TODAY()-314</f>
        <v>43907</v>
      </c>
      <c r="D704" s="10" t="s">
        <v>3384</v>
      </c>
      <c r="E704" s="12" t="s">
        <v>3384</v>
      </c>
      <c r="F704" s="16">
        <v>275000</v>
      </c>
    </row>
    <row r="705" spans="1:6" x14ac:dyDescent="0.2">
      <c r="A705" s="8" t="s">
        <v>667</v>
      </c>
      <c r="B705" s="9">
        <v>17710138305</v>
      </c>
      <c r="C705" s="10">
        <f ca="1">TODAY()-4660</f>
        <v>39561</v>
      </c>
      <c r="D705" s="10" t="s">
        <v>2303</v>
      </c>
      <c r="E705" s="12" t="s">
        <v>3404</v>
      </c>
      <c r="F705" s="16">
        <v>225000</v>
      </c>
    </row>
    <row r="706" spans="1:6" x14ac:dyDescent="0.2">
      <c r="A706" s="8" t="s">
        <v>851</v>
      </c>
      <c r="B706" s="9">
        <v>26404121879</v>
      </c>
      <c r="C706" s="10">
        <f ca="1">TODAY()-2749</f>
        <v>41472</v>
      </c>
      <c r="D706" s="10" t="s">
        <v>2286</v>
      </c>
      <c r="E706" s="12" t="s">
        <v>3502</v>
      </c>
      <c r="F706" s="16">
        <v>335000</v>
      </c>
    </row>
    <row r="707" spans="1:6" x14ac:dyDescent="0.2">
      <c r="A707" s="8" t="s">
        <v>2255</v>
      </c>
      <c r="B707" s="9">
        <v>26001252113</v>
      </c>
      <c r="C707" s="10">
        <f ca="1">TODAY()-4299</f>
        <v>39922</v>
      </c>
      <c r="D707" s="10" t="s">
        <v>2290</v>
      </c>
      <c r="E707" s="12" t="s">
        <v>3447</v>
      </c>
      <c r="F707" s="16">
        <v>485000</v>
      </c>
    </row>
    <row r="708" spans="1:6" x14ac:dyDescent="0.2">
      <c r="A708" s="8" t="s">
        <v>1588</v>
      </c>
      <c r="B708" s="9">
        <v>18812035188</v>
      </c>
      <c r="C708" s="10">
        <f ca="1">TODAY()-2840</f>
        <v>41381</v>
      </c>
      <c r="D708" s="10" t="s">
        <v>3392</v>
      </c>
      <c r="E708" s="12" t="s">
        <v>3480</v>
      </c>
      <c r="F708" s="16">
        <v>465000</v>
      </c>
    </row>
    <row r="709" spans="1:6" x14ac:dyDescent="0.2">
      <c r="A709" s="8" t="s">
        <v>1801</v>
      </c>
      <c r="B709" s="9">
        <v>16303185468</v>
      </c>
      <c r="C709" s="10">
        <f ca="1">TODAY()-461</f>
        <v>43760</v>
      </c>
      <c r="D709" s="10" t="s">
        <v>2297</v>
      </c>
      <c r="E709" s="12" t="s">
        <v>3413</v>
      </c>
      <c r="F709" s="16">
        <v>295000</v>
      </c>
    </row>
    <row r="710" spans="1:6" x14ac:dyDescent="0.2">
      <c r="A710" s="8" t="s">
        <v>1300</v>
      </c>
      <c r="B710" s="9">
        <v>26311167720</v>
      </c>
      <c r="C710" s="10">
        <f ca="1">TODAY()-4067</f>
        <v>40154</v>
      </c>
      <c r="D710" s="10" t="s">
        <v>2301</v>
      </c>
      <c r="E710" s="12" t="s">
        <v>3547</v>
      </c>
      <c r="F710" s="16">
        <v>380000</v>
      </c>
    </row>
    <row r="711" spans="1:6" x14ac:dyDescent="0.2">
      <c r="A711" s="8" t="s">
        <v>774</v>
      </c>
      <c r="B711" s="9">
        <v>27303235329</v>
      </c>
      <c r="C711" s="10">
        <f ca="1">TODAY()-236</f>
        <v>43985</v>
      </c>
      <c r="D711" s="10" t="s">
        <v>3402</v>
      </c>
      <c r="E711" s="12" t="s">
        <v>3459</v>
      </c>
      <c r="F711" s="16">
        <v>445000</v>
      </c>
    </row>
    <row r="712" spans="1:6" x14ac:dyDescent="0.2">
      <c r="A712" s="8" t="s">
        <v>1497</v>
      </c>
      <c r="B712" s="9">
        <v>17512067840</v>
      </c>
      <c r="C712" s="10">
        <f ca="1">TODAY()-4045</f>
        <v>40176</v>
      </c>
      <c r="D712" s="10" t="s">
        <v>2294</v>
      </c>
      <c r="E712" s="12" t="s">
        <v>3519</v>
      </c>
      <c r="F712" s="16">
        <v>290000</v>
      </c>
    </row>
    <row r="713" spans="1:6" x14ac:dyDescent="0.2">
      <c r="A713" s="8" t="s">
        <v>1374</v>
      </c>
      <c r="B713" s="9">
        <v>17501143402</v>
      </c>
      <c r="C713" s="10">
        <f ca="1">TODAY()-2661</f>
        <v>41560</v>
      </c>
      <c r="D713" s="10" t="s">
        <v>3396</v>
      </c>
      <c r="E713" s="12" t="s">
        <v>3512</v>
      </c>
      <c r="F713" s="16">
        <v>350000</v>
      </c>
    </row>
    <row r="714" spans="1:6" x14ac:dyDescent="0.2">
      <c r="A714" s="8" t="s">
        <v>1736</v>
      </c>
      <c r="B714" s="9">
        <v>18311179382</v>
      </c>
      <c r="C714" s="10">
        <f ca="1">TODAY()-1809</f>
        <v>42412</v>
      </c>
      <c r="D714" s="10" t="s">
        <v>2293</v>
      </c>
      <c r="E714" s="12" t="s">
        <v>3511</v>
      </c>
      <c r="F714" s="16">
        <v>195000</v>
      </c>
    </row>
    <row r="715" spans="1:6" x14ac:dyDescent="0.2">
      <c r="A715" s="8" t="s">
        <v>2204</v>
      </c>
      <c r="B715" s="9">
        <v>17003279593</v>
      </c>
      <c r="C715" s="10">
        <f ca="1">TODAY()-4763</f>
        <v>39458</v>
      </c>
      <c r="D715" s="10" t="s">
        <v>2296</v>
      </c>
      <c r="E715" s="12" t="s">
        <v>2296</v>
      </c>
      <c r="F715" s="16">
        <v>350000</v>
      </c>
    </row>
    <row r="716" spans="1:6" x14ac:dyDescent="0.2">
      <c r="A716" s="8" t="s">
        <v>1250</v>
      </c>
      <c r="B716" s="9">
        <v>17908093163</v>
      </c>
      <c r="C716" s="10">
        <f ca="1">TODAY()-3076</f>
        <v>41145</v>
      </c>
      <c r="D716" s="10" t="s">
        <v>2288</v>
      </c>
      <c r="E716" s="12" t="s">
        <v>3445</v>
      </c>
      <c r="F716" s="16">
        <v>330000</v>
      </c>
    </row>
    <row r="717" spans="1:6" x14ac:dyDescent="0.2">
      <c r="A717" s="8" t="s">
        <v>2220</v>
      </c>
      <c r="B717" s="9">
        <v>18203214196</v>
      </c>
      <c r="C717" s="10">
        <f ca="1">TODAY()-3260</f>
        <v>40961</v>
      </c>
      <c r="D717" s="10" t="s">
        <v>2286</v>
      </c>
      <c r="E717" s="12" t="s">
        <v>2286</v>
      </c>
      <c r="F717" s="16">
        <v>390000</v>
      </c>
    </row>
    <row r="718" spans="1:6" x14ac:dyDescent="0.2">
      <c r="A718" s="8" t="s">
        <v>1660</v>
      </c>
      <c r="B718" s="9">
        <v>27704169749</v>
      </c>
      <c r="C718" s="10">
        <f ca="1">TODAY()-2682</f>
        <v>41539</v>
      </c>
      <c r="D718" s="10" t="s">
        <v>3386</v>
      </c>
      <c r="E718" s="12" t="s">
        <v>3512</v>
      </c>
      <c r="F718" s="16">
        <v>350000</v>
      </c>
    </row>
    <row r="719" spans="1:6" x14ac:dyDescent="0.2">
      <c r="A719" s="8" t="s">
        <v>1928</v>
      </c>
      <c r="B719" s="9">
        <v>16001238982</v>
      </c>
      <c r="C719" s="10">
        <f ca="1">TODAY()-1596</f>
        <v>42625</v>
      </c>
      <c r="D719" s="10" t="s">
        <v>3393</v>
      </c>
      <c r="E719" s="12" t="s">
        <v>3393</v>
      </c>
      <c r="F719" s="16">
        <v>200000</v>
      </c>
    </row>
    <row r="720" spans="1:6" x14ac:dyDescent="0.2">
      <c r="A720" s="8" t="s">
        <v>567</v>
      </c>
      <c r="B720" s="9">
        <v>18207197698</v>
      </c>
      <c r="C720" s="10">
        <f ca="1">TODAY()-3278</f>
        <v>40943</v>
      </c>
      <c r="D720" s="10" t="s">
        <v>2286</v>
      </c>
      <c r="E720" s="12" t="s">
        <v>3535</v>
      </c>
      <c r="F720" s="16">
        <v>425000</v>
      </c>
    </row>
    <row r="721" spans="1:6" x14ac:dyDescent="0.2">
      <c r="A721" s="8" t="s">
        <v>979</v>
      </c>
      <c r="B721" s="9">
        <v>17511048980</v>
      </c>
      <c r="C721" s="10">
        <f ca="1">TODAY()-3108</f>
        <v>41113</v>
      </c>
      <c r="D721" s="10" t="s">
        <v>3391</v>
      </c>
      <c r="E721" s="12" t="s">
        <v>3453</v>
      </c>
      <c r="F721" s="16">
        <v>180000</v>
      </c>
    </row>
    <row r="722" spans="1:6" x14ac:dyDescent="0.2">
      <c r="A722" s="8" t="s">
        <v>697</v>
      </c>
      <c r="B722" s="9">
        <v>17103258272</v>
      </c>
      <c r="C722" s="10">
        <f ca="1">TODAY()-3082</f>
        <v>41139</v>
      </c>
      <c r="D722" s="10" t="s">
        <v>2298</v>
      </c>
      <c r="E722" s="12" t="s">
        <v>3422</v>
      </c>
      <c r="F722" s="16">
        <v>425000</v>
      </c>
    </row>
    <row r="723" spans="1:6" x14ac:dyDescent="0.2">
      <c r="A723" s="8" t="s">
        <v>2160</v>
      </c>
      <c r="B723" s="9">
        <v>17708158162</v>
      </c>
      <c r="C723" s="10">
        <f ca="1">TODAY()-1493</f>
        <v>42728</v>
      </c>
      <c r="D723" s="10" t="s">
        <v>3387</v>
      </c>
      <c r="E723" s="12" t="s">
        <v>3470</v>
      </c>
      <c r="F723" s="16">
        <v>280000</v>
      </c>
    </row>
    <row r="724" spans="1:6" x14ac:dyDescent="0.2">
      <c r="A724" s="8" t="s">
        <v>538</v>
      </c>
      <c r="B724" s="9">
        <v>16211037429</v>
      </c>
      <c r="C724" s="10">
        <f ca="1">TODAY()-4580</f>
        <v>39641</v>
      </c>
      <c r="D724" s="10" t="s">
        <v>2302</v>
      </c>
      <c r="E724" s="12" t="s">
        <v>3544</v>
      </c>
      <c r="F724" s="16">
        <v>385000</v>
      </c>
    </row>
    <row r="725" spans="1:6" x14ac:dyDescent="0.2">
      <c r="A725" s="8" t="s">
        <v>1856</v>
      </c>
      <c r="B725" s="9">
        <v>27902103130</v>
      </c>
      <c r="C725" s="10">
        <f ca="1">TODAY()-2213</f>
        <v>42008</v>
      </c>
      <c r="D725" s="10" t="s">
        <v>2285</v>
      </c>
      <c r="E725" s="12" t="s">
        <v>3550</v>
      </c>
      <c r="F725" s="16">
        <v>395000</v>
      </c>
    </row>
    <row r="726" spans="1:6" x14ac:dyDescent="0.2">
      <c r="A726" s="8" t="s">
        <v>998</v>
      </c>
      <c r="B726" s="9">
        <v>26706206138</v>
      </c>
      <c r="C726" s="10">
        <f ca="1">TODAY()-2130</f>
        <v>42091</v>
      </c>
      <c r="D726" s="10" t="s">
        <v>3382</v>
      </c>
      <c r="E726" s="12" t="s">
        <v>3484</v>
      </c>
      <c r="F726" s="16">
        <v>485000</v>
      </c>
    </row>
    <row r="727" spans="1:6" x14ac:dyDescent="0.2">
      <c r="A727" s="8" t="s">
        <v>1191</v>
      </c>
      <c r="B727" s="9">
        <v>16706202069</v>
      </c>
      <c r="C727" s="10">
        <f ca="1">TODAY()-664</f>
        <v>43557</v>
      </c>
      <c r="D727" s="10" t="s">
        <v>2284</v>
      </c>
      <c r="E727" s="12" t="s">
        <v>3536</v>
      </c>
      <c r="F727" s="16">
        <v>280000</v>
      </c>
    </row>
    <row r="728" spans="1:6" x14ac:dyDescent="0.2">
      <c r="A728" s="8" t="s">
        <v>1013</v>
      </c>
      <c r="B728" s="9">
        <v>26312176888</v>
      </c>
      <c r="C728" s="10">
        <f ca="1">TODAY()-2756</f>
        <v>41465</v>
      </c>
      <c r="D728" s="10" t="s">
        <v>2290</v>
      </c>
      <c r="E728" s="12" t="s">
        <v>3428</v>
      </c>
      <c r="F728" s="16">
        <v>375000</v>
      </c>
    </row>
    <row r="729" spans="1:6" x14ac:dyDescent="0.2">
      <c r="A729" s="8" t="s">
        <v>833</v>
      </c>
      <c r="B729" s="9">
        <v>26604217741</v>
      </c>
      <c r="C729" s="10">
        <f ca="1">TODAY()-1906</f>
        <v>42315</v>
      </c>
      <c r="D729" s="10" t="s">
        <v>3383</v>
      </c>
      <c r="E729" s="12" t="s">
        <v>3482</v>
      </c>
      <c r="F729" s="16">
        <v>285000</v>
      </c>
    </row>
    <row r="730" spans="1:6" x14ac:dyDescent="0.2">
      <c r="A730" s="8" t="s">
        <v>1506</v>
      </c>
      <c r="B730" s="9">
        <v>27106025259</v>
      </c>
      <c r="C730" s="10">
        <f ca="1">TODAY()-2193</f>
        <v>42028</v>
      </c>
      <c r="D730" s="10" t="s">
        <v>2298</v>
      </c>
      <c r="E730" s="12" t="s">
        <v>3541</v>
      </c>
      <c r="F730" s="16">
        <v>275000</v>
      </c>
    </row>
    <row r="731" spans="1:6" x14ac:dyDescent="0.2">
      <c r="A731" s="8" t="s">
        <v>1890</v>
      </c>
      <c r="B731" s="9">
        <v>28811069843</v>
      </c>
      <c r="C731" s="10">
        <f ca="1">TODAY()-1931</f>
        <v>42290</v>
      </c>
      <c r="D731" s="10" t="s">
        <v>3387</v>
      </c>
      <c r="E731" s="12" t="s">
        <v>3387</v>
      </c>
      <c r="F731" s="16">
        <v>495000</v>
      </c>
    </row>
    <row r="732" spans="1:6" x14ac:dyDescent="0.2">
      <c r="A732" s="8" t="s">
        <v>2158</v>
      </c>
      <c r="B732" s="9">
        <v>26307052655</v>
      </c>
      <c r="C732" s="10">
        <f ca="1">TODAY()-505</f>
        <v>43716</v>
      </c>
      <c r="D732" s="10" t="s">
        <v>2304</v>
      </c>
      <c r="E732" s="12" t="s">
        <v>3507</v>
      </c>
      <c r="F732" s="16">
        <v>450000</v>
      </c>
    </row>
    <row r="733" spans="1:6" x14ac:dyDescent="0.2">
      <c r="A733" s="8" t="s">
        <v>1600</v>
      </c>
      <c r="B733" s="9">
        <v>16801122707</v>
      </c>
      <c r="C733" s="10">
        <f ca="1">TODAY()-3935</f>
        <v>40286</v>
      </c>
      <c r="D733" s="10" t="s">
        <v>2302</v>
      </c>
      <c r="E733" s="12" t="s">
        <v>3474</v>
      </c>
      <c r="F733" s="16">
        <v>500000</v>
      </c>
    </row>
    <row r="734" spans="1:6" x14ac:dyDescent="0.2">
      <c r="A734" s="8" t="s">
        <v>1835</v>
      </c>
      <c r="B734" s="9">
        <v>27801136082</v>
      </c>
      <c r="C734" s="10">
        <f ca="1">TODAY()-3087</f>
        <v>41134</v>
      </c>
      <c r="D734" s="10" t="s">
        <v>3397</v>
      </c>
      <c r="E734" s="12" t="s">
        <v>3407</v>
      </c>
      <c r="F734" s="16">
        <v>330000</v>
      </c>
    </row>
    <row r="735" spans="1:6" x14ac:dyDescent="0.2">
      <c r="A735" s="8" t="s">
        <v>896</v>
      </c>
      <c r="B735" s="9">
        <v>18505022707</v>
      </c>
      <c r="C735" s="10">
        <f ca="1">TODAY()-3732</f>
        <v>40489</v>
      </c>
      <c r="D735" s="10" t="s">
        <v>3378</v>
      </c>
      <c r="E735" s="12" t="s">
        <v>3512</v>
      </c>
      <c r="F735" s="16">
        <v>185000</v>
      </c>
    </row>
    <row r="736" spans="1:6" x14ac:dyDescent="0.2">
      <c r="A736" s="8" t="s">
        <v>1958</v>
      </c>
      <c r="B736" s="9">
        <v>26102243130</v>
      </c>
      <c r="C736" s="10">
        <f ca="1">TODAY()-758</f>
        <v>43463</v>
      </c>
      <c r="D736" s="10" t="s">
        <v>3402</v>
      </c>
      <c r="E736" s="12" t="s">
        <v>3502</v>
      </c>
      <c r="F736" s="16">
        <v>230000</v>
      </c>
    </row>
    <row r="737" spans="1:6" x14ac:dyDescent="0.2">
      <c r="A737" s="8" t="s">
        <v>1086</v>
      </c>
      <c r="B737" s="9">
        <v>26106181536</v>
      </c>
      <c r="C737" s="10">
        <f ca="1">TODAY()-2070</f>
        <v>42151</v>
      </c>
      <c r="D737" s="10" t="s">
        <v>2299</v>
      </c>
      <c r="E737" s="12" t="s">
        <v>3490</v>
      </c>
      <c r="F737" s="16">
        <v>395000</v>
      </c>
    </row>
    <row r="738" spans="1:6" x14ac:dyDescent="0.2">
      <c r="A738" s="8" t="s">
        <v>755</v>
      </c>
      <c r="B738" s="9">
        <v>17712038931</v>
      </c>
      <c r="C738" s="10">
        <f ca="1">TODAY()-1506</f>
        <v>42715</v>
      </c>
      <c r="D738" s="10" t="s">
        <v>3379</v>
      </c>
      <c r="E738" s="12" t="s">
        <v>3429</v>
      </c>
      <c r="F738" s="16">
        <v>220000</v>
      </c>
    </row>
    <row r="739" spans="1:6" x14ac:dyDescent="0.2">
      <c r="A739" s="8" t="s">
        <v>1517</v>
      </c>
      <c r="B739" s="9">
        <v>16401126812</v>
      </c>
      <c r="C739" s="10">
        <f ca="1">TODAY()-3067</f>
        <v>41154</v>
      </c>
      <c r="D739" s="10" t="s">
        <v>2298</v>
      </c>
      <c r="E739" s="12" t="s">
        <v>3428</v>
      </c>
      <c r="F739" s="16">
        <v>205000</v>
      </c>
    </row>
    <row r="740" spans="1:6" x14ac:dyDescent="0.2">
      <c r="A740" s="8" t="s">
        <v>1247</v>
      </c>
      <c r="B740" s="9">
        <v>28403286974</v>
      </c>
      <c r="C740" s="10">
        <f ca="1">TODAY()-2282</f>
        <v>41939</v>
      </c>
      <c r="D740" s="10" t="s">
        <v>2300</v>
      </c>
      <c r="E740" s="12" t="s">
        <v>3559</v>
      </c>
      <c r="F740" s="16">
        <v>270000</v>
      </c>
    </row>
    <row r="741" spans="1:6" x14ac:dyDescent="0.2">
      <c r="A741" s="8" t="s">
        <v>2272</v>
      </c>
      <c r="B741" s="9">
        <v>18801179446</v>
      </c>
      <c r="C741" s="10">
        <f ca="1">TODAY()-1003</f>
        <v>43218</v>
      </c>
      <c r="D741" s="10" t="s">
        <v>3388</v>
      </c>
      <c r="E741" s="12" t="s">
        <v>3422</v>
      </c>
      <c r="F741" s="16">
        <v>385000</v>
      </c>
    </row>
    <row r="742" spans="1:6" x14ac:dyDescent="0.2">
      <c r="A742" s="8" t="s">
        <v>2048</v>
      </c>
      <c r="B742" s="9">
        <v>27606134726</v>
      </c>
      <c r="C742" s="10">
        <f ca="1">TODAY()-4672</f>
        <v>39549</v>
      </c>
      <c r="D742" s="10" t="s">
        <v>3395</v>
      </c>
      <c r="E742" s="12" t="s">
        <v>3419</v>
      </c>
      <c r="F742" s="16">
        <v>395000</v>
      </c>
    </row>
    <row r="743" spans="1:6" x14ac:dyDescent="0.2">
      <c r="A743" s="8" t="s">
        <v>1719</v>
      </c>
      <c r="B743" s="9">
        <v>17710106938</v>
      </c>
      <c r="C743" s="10">
        <f ca="1">TODAY()-955</f>
        <v>43266</v>
      </c>
      <c r="D743" s="10" t="s">
        <v>2294</v>
      </c>
      <c r="E743" s="12" t="s">
        <v>3471</v>
      </c>
      <c r="F743" s="16">
        <v>190000</v>
      </c>
    </row>
    <row r="744" spans="1:6" x14ac:dyDescent="0.2">
      <c r="A744" s="8" t="s">
        <v>2238</v>
      </c>
      <c r="B744" s="9">
        <v>28012044052</v>
      </c>
      <c r="C744" s="10">
        <f ca="1">TODAY()-1419</f>
        <v>42802</v>
      </c>
      <c r="D744" s="10" t="s">
        <v>2288</v>
      </c>
      <c r="E744" s="12" t="s">
        <v>3430</v>
      </c>
      <c r="F744" s="16">
        <v>455000</v>
      </c>
    </row>
    <row r="745" spans="1:6" x14ac:dyDescent="0.2">
      <c r="A745" s="8" t="s">
        <v>837</v>
      </c>
      <c r="B745" s="9">
        <v>18902279970</v>
      </c>
      <c r="C745" s="10">
        <f ca="1">TODAY()-17</f>
        <v>44204</v>
      </c>
      <c r="D745" s="10" t="s">
        <v>3382</v>
      </c>
      <c r="E745" s="12" t="s">
        <v>3562</v>
      </c>
      <c r="F745" s="16">
        <v>290000</v>
      </c>
    </row>
    <row r="746" spans="1:6" x14ac:dyDescent="0.2">
      <c r="A746" s="8" t="s">
        <v>615</v>
      </c>
      <c r="B746" s="9">
        <v>18008199079</v>
      </c>
      <c r="C746" s="10">
        <f ca="1">TODAY()-2733</f>
        <v>41488</v>
      </c>
      <c r="D746" s="10" t="s">
        <v>2296</v>
      </c>
      <c r="E746" s="12" t="s">
        <v>3542</v>
      </c>
      <c r="F746" s="16">
        <v>375000</v>
      </c>
    </row>
    <row r="747" spans="1:6" x14ac:dyDescent="0.2">
      <c r="A747" s="8" t="s">
        <v>1014</v>
      </c>
      <c r="B747" s="9">
        <v>27409109033</v>
      </c>
      <c r="C747" s="10">
        <f ca="1">TODAY()-2176</f>
        <v>42045</v>
      </c>
      <c r="D747" s="10" t="s">
        <v>2301</v>
      </c>
      <c r="E747" s="12" t="s">
        <v>2301</v>
      </c>
      <c r="F747" s="16">
        <v>310000</v>
      </c>
    </row>
    <row r="748" spans="1:6" x14ac:dyDescent="0.2">
      <c r="A748" s="8" t="s">
        <v>1761</v>
      </c>
      <c r="B748" s="9">
        <v>26105241434</v>
      </c>
      <c r="C748" s="10">
        <f ca="1">TODAY()-954</f>
        <v>43267</v>
      </c>
      <c r="D748" s="10" t="s">
        <v>3379</v>
      </c>
      <c r="E748" s="12" t="s">
        <v>3439</v>
      </c>
      <c r="F748" s="16">
        <v>300000</v>
      </c>
    </row>
    <row r="749" spans="1:6" x14ac:dyDescent="0.2">
      <c r="A749" s="8" t="s">
        <v>2055</v>
      </c>
      <c r="B749" s="9">
        <v>16108029634</v>
      </c>
      <c r="C749" s="10">
        <f ca="1">TODAY()-938</f>
        <v>43283</v>
      </c>
      <c r="D749" s="10" t="s">
        <v>3395</v>
      </c>
      <c r="E749" s="12" t="s">
        <v>3509</v>
      </c>
      <c r="F749" s="16">
        <v>200000</v>
      </c>
    </row>
    <row r="750" spans="1:6" x14ac:dyDescent="0.2">
      <c r="A750" s="8" t="s">
        <v>547</v>
      </c>
      <c r="B750" s="9">
        <v>16908155068</v>
      </c>
      <c r="C750" s="10">
        <f ca="1">TODAY()-2323</f>
        <v>41898</v>
      </c>
      <c r="D750" s="10" t="s">
        <v>3383</v>
      </c>
      <c r="E750" s="12" t="s">
        <v>3549</v>
      </c>
      <c r="F750" s="16">
        <v>385000</v>
      </c>
    </row>
    <row r="751" spans="1:6" x14ac:dyDescent="0.2">
      <c r="A751" s="8" t="s">
        <v>965</v>
      </c>
      <c r="B751" s="9">
        <v>16903201683</v>
      </c>
      <c r="C751" s="10">
        <f ca="1">TODAY()-1127</f>
        <v>43094</v>
      </c>
      <c r="D751" s="10" t="s">
        <v>3387</v>
      </c>
      <c r="E751" s="12" t="s">
        <v>3552</v>
      </c>
      <c r="F751" s="16">
        <v>400000</v>
      </c>
    </row>
    <row r="752" spans="1:6" x14ac:dyDescent="0.2">
      <c r="A752" s="8" t="s">
        <v>1122</v>
      </c>
      <c r="B752" s="9">
        <v>19012183749</v>
      </c>
      <c r="C752" s="10">
        <f ca="1">TODAY()-594</f>
        <v>43627</v>
      </c>
      <c r="D752" s="10" t="s">
        <v>2287</v>
      </c>
      <c r="E752" s="12" t="s">
        <v>3538</v>
      </c>
      <c r="F752" s="16">
        <v>490000</v>
      </c>
    </row>
    <row r="753" spans="1:6" x14ac:dyDescent="0.2">
      <c r="A753" s="8" t="s">
        <v>734</v>
      </c>
      <c r="B753" s="9">
        <v>17102022931</v>
      </c>
      <c r="C753" s="10">
        <f ca="1">TODAY()-106</f>
        <v>44115</v>
      </c>
      <c r="D753" s="10" t="s">
        <v>3380</v>
      </c>
      <c r="E753" s="12" t="s">
        <v>3413</v>
      </c>
      <c r="F753" s="16">
        <v>375000</v>
      </c>
    </row>
    <row r="754" spans="1:6" x14ac:dyDescent="0.2">
      <c r="A754" s="8" t="s">
        <v>2083</v>
      </c>
      <c r="B754" s="9">
        <v>18311041549</v>
      </c>
      <c r="C754" s="10">
        <f ca="1">TODAY()-4818</f>
        <v>39403</v>
      </c>
      <c r="D754" s="10" t="s">
        <v>3401</v>
      </c>
      <c r="E754" s="12" t="s">
        <v>3525</v>
      </c>
      <c r="F754" s="16">
        <v>335000</v>
      </c>
    </row>
    <row r="755" spans="1:6" x14ac:dyDescent="0.2">
      <c r="A755" s="8" t="s">
        <v>1747</v>
      </c>
      <c r="B755" s="9">
        <v>16803184296</v>
      </c>
      <c r="C755" s="10">
        <f ca="1">TODAY()-7</f>
        <v>44214</v>
      </c>
      <c r="D755" s="10" t="s">
        <v>2302</v>
      </c>
      <c r="E755" s="12" t="s">
        <v>3432</v>
      </c>
      <c r="F755" s="16">
        <v>245000</v>
      </c>
    </row>
    <row r="756" spans="1:6" x14ac:dyDescent="0.2">
      <c r="A756" s="8" t="s">
        <v>1707</v>
      </c>
      <c r="B756" s="9">
        <v>28203079496</v>
      </c>
      <c r="C756" s="10">
        <f ca="1">TODAY()-4362</f>
        <v>39859</v>
      </c>
      <c r="D756" s="10" t="s">
        <v>3378</v>
      </c>
      <c r="E756" s="12" t="s">
        <v>3493</v>
      </c>
      <c r="F756" s="16">
        <v>385000</v>
      </c>
    </row>
    <row r="757" spans="1:6" x14ac:dyDescent="0.2">
      <c r="A757" s="8" t="s">
        <v>2150</v>
      </c>
      <c r="B757" s="9">
        <v>19007275265</v>
      </c>
      <c r="C757" s="10">
        <f ca="1">TODAY()-3962</f>
        <v>40259</v>
      </c>
      <c r="D757" s="10" t="s">
        <v>2286</v>
      </c>
      <c r="E757" s="12" t="s">
        <v>3549</v>
      </c>
      <c r="F757" s="16">
        <v>200000</v>
      </c>
    </row>
    <row r="758" spans="1:6" x14ac:dyDescent="0.2">
      <c r="A758" s="8" t="s">
        <v>481</v>
      </c>
      <c r="B758" s="9">
        <v>17104151864</v>
      </c>
      <c r="C758" s="10">
        <f ca="1">TODAY()-4478</f>
        <v>39743</v>
      </c>
      <c r="D758" s="10" t="s">
        <v>3384</v>
      </c>
      <c r="E758" s="12" t="s">
        <v>3548</v>
      </c>
      <c r="F758" s="16">
        <v>270000</v>
      </c>
    </row>
    <row r="759" spans="1:6" x14ac:dyDescent="0.2">
      <c r="A759" s="8" t="s">
        <v>840</v>
      </c>
      <c r="B759" s="9">
        <v>26805149956</v>
      </c>
      <c r="C759" s="10">
        <f ca="1">TODAY()-4998</f>
        <v>39223</v>
      </c>
      <c r="D759" s="10" t="s">
        <v>3381</v>
      </c>
      <c r="E759" s="12" t="s">
        <v>3469</v>
      </c>
      <c r="F759" s="16">
        <v>345000</v>
      </c>
    </row>
    <row r="760" spans="1:6" x14ac:dyDescent="0.2">
      <c r="A760" s="8" t="s">
        <v>1828</v>
      </c>
      <c r="B760" s="9">
        <v>18305192589</v>
      </c>
      <c r="C760" s="10">
        <f ca="1">TODAY()-136</f>
        <v>44085</v>
      </c>
      <c r="D760" s="10" t="s">
        <v>2292</v>
      </c>
      <c r="E760" s="12" t="s">
        <v>3523</v>
      </c>
      <c r="F760" s="16">
        <v>455000</v>
      </c>
    </row>
    <row r="761" spans="1:6" x14ac:dyDescent="0.2">
      <c r="A761" s="8" t="s">
        <v>1224</v>
      </c>
      <c r="B761" s="9">
        <v>19002179034</v>
      </c>
      <c r="C761" s="10">
        <f ca="1">TODAY()-4968</f>
        <v>39253</v>
      </c>
      <c r="D761" s="10" t="s">
        <v>3388</v>
      </c>
      <c r="E761" s="12" t="s">
        <v>3388</v>
      </c>
      <c r="F761" s="16">
        <v>230000</v>
      </c>
    </row>
    <row r="762" spans="1:6" x14ac:dyDescent="0.2">
      <c r="A762" s="8" t="s">
        <v>1201</v>
      </c>
      <c r="B762" s="9">
        <v>17203257468</v>
      </c>
      <c r="C762" s="10">
        <f ca="1">TODAY()-3620</f>
        <v>40601</v>
      </c>
      <c r="D762" s="10" t="s">
        <v>2302</v>
      </c>
      <c r="E762" s="12" t="s">
        <v>3549</v>
      </c>
      <c r="F762" s="16">
        <v>190000</v>
      </c>
    </row>
    <row r="763" spans="1:6" x14ac:dyDescent="0.2">
      <c r="A763" s="8" t="s">
        <v>2267</v>
      </c>
      <c r="B763" s="9">
        <v>17403015599</v>
      </c>
      <c r="C763" s="10">
        <f ca="1">TODAY()-4852</f>
        <v>39369</v>
      </c>
      <c r="D763" s="10" t="s">
        <v>3395</v>
      </c>
      <c r="E763" s="12" t="s">
        <v>3421</v>
      </c>
      <c r="F763" s="16">
        <v>375000</v>
      </c>
    </row>
    <row r="764" spans="1:6" x14ac:dyDescent="0.2">
      <c r="A764" s="8" t="s">
        <v>2207</v>
      </c>
      <c r="B764" s="9">
        <v>28811033930</v>
      </c>
      <c r="C764" s="10">
        <f ca="1">TODAY()-2376</f>
        <v>41845</v>
      </c>
      <c r="D764" s="10" t="s">
        <v>2293</v>
      </c>
      <c r="E764" s="12" t="s">
        <v>3559</v>
      </c>
      <c r="F764" s="16">
        <v>230000</v>
      </c>
    </row>
    <row r="765" spans="1:6" x14ac:dyDescent="0.2">
      <c r="A765" s="8" t="s">
        <v>1179</v>
      </c>
      <c r="B765" s="9">
        <v>17204174877</v>
      </c>
      <c r="C765" s="10">
        <f ca="1">TODAY()-832</f>
        <v>43389</v>
      </c>
      <c r="D765" s="10" t="s">
        <v>2292</v>
      </c>
      <c r="E765" s="12" t="s">
        <v>3433</v>
      </c>
      <c r="F765" s="16">
        <v>415000</v>
      </c>
    </row>
    <row r="766" spans="1:6" x14ac:dyDescent="0.2">
      <c r="A766" s="8" t="s">
        <v>816</v>
      </c>
      <c r="B766" s="9">
        <v>16607067801</v>
      </c>
      <c r="C766" s="10">
        <f ca="1">TODAY()-2115</f>
        <v>42106</v>
      </c>
      <c r="D766" s="10" t="s">
        <v>2297</v>
      </c>
      <c r="E766" s="12" t="s">
        <v>3456</v>
      </c>
      <c r="F766" s="16">
        <v>270000</v>
      </c>
    </row>
    <row r="767" spans="1:6" x14ac:dyDescent="0.2">
      <c r="A767" s="8" t="s">
        <v>1077</v>
      </c>
      <c r="B767" s="9">
        <v>27304031547</v>
      </c>
      <c r="C767" s="10">
        <f ca="1">TODAY()-3015</f>
        <v>41206</v>
      </c>
      <c r="D767" s="10" t="s">
        <v>3388</v>
      </c>
      <c r="E767" s="12" t="s">
        <v>3498</v>
      </c>
      <c r="F767" s="16">
        <v>395000</v>
      </c>
    </row>
    <row r="768" spans="1:6" x14ac:dyDescent="0.2">
      <c r="A768" s="8" t="s">
        <v>1436</v>
      </c>
      <c r="B768" s="9">
        <v>18305028745</v>
      </c>
      <c r="C768" s="10">
        <f ca="1">TODAY()-3542</f>
        <v>40679</v>
      </c>
      <c r="D768" s="10" t="s">
        <v>2296</v>
      </c>
      <c r="E768" s="12" t="s">
        <v>3501</v>
      </c>
      <c r="F768" s="16">
        <v>485000</v>
      </c>
    </row>
    <row r="769" spans="1:6" x14ac:dyDescent="0.2">
      <c r="A769" s="8" t="s">
        <v>2193</v>
      </c>
      <c r="B769" s="9">
        <v>16906034745</v>
      </c>
      <c r="C769" s="10">
        <f ca="1">TODAY()-2277</f>
        <v>41944</v>
      </c>
      <c r="D769" s="10" t="s">
        <v>2285</v>
      </c>
      <c r="E769" s="12" t="s">
        <v>3443</v>
      </c>
      <c r="F769" s="16">
        <v>375000</v>
      </c>
    </row>
    <row r="770" spans="1:6" x14ac:dyDescent="0.2">
      <c r="A770" s="8" t="s">
        <v>1258</v>
      </c>
      <c r="B770" s="9">
        <v>17109173529</v>
      </c>
      <c r="C770" s="10">
        <f ca="1">TODAY()-4643</f>
        <v>39578</v>
      </c>
      <c r="D770" s="10" t="s">
        <v>2303</v>
      </c>
      <c r="E770" s="12" t="s">
        <v>3560</v>
      </c>
      <c r="F770" s="16">
        <v>400000</v>
      </c>
    </row>
    <row r="771" spans="1:6" x14ac:dyDescent="0.2">
      <c r="A771" s="8" t="s">
        <v>1249</v>
      </c>
      <c r="B771" s="9">
        <v>17706151882</v>
      </c>
      <c r="C771" s="10">
        <f ca="1">TODAY()-2486</f>
        <v>41735</v>
      </c>
      <c r="D771" s="10" t="s">
        <v>3395</v>
      </c>
      <c r="E771" s="12" t="s">
        <v>3530</v>
      </c>
      <c r="F771" s="16">
        <v>175000</v>
      </c>
    </row>
    <row r="772" spans="1:6" x14ac:dyDescent="0.2">
      <c r="A772" s="8" t="s">
        <v>1282</v>
      </c>
      <c r="B772" s="9">
        <v>17712102946</v>
      </c>
      <c r="C772" s="10">
        <f ca="1">TODAY()-3793</f>
        <v>40428</v>
      </c>
      <c r="D772" s="10" t="s">
        <v>3378</v>
      </c>
      <c r="E772" s="12" t="s">
        <v>3439</v>
      </c>
      <c r="F772" s="16">
        <v>385000</v>
      </c>
    </row>
    <row r="773" spans="1:6" x14ac:dyDescent="0.2">
      <c r="A773" s="8" t="s">
        <v>1973</v>
      </c>
      <c r="B773" s="9">
        <v>16709285191</v>
      </c>
      <c r="C773" s="10">
        <f ca="1">TODAY()-2904</f>
        <v>41317</v>
      </c>
      <c r="D773" s="10" t="s">
        <v>2300</v>
      </c>
      <c r="E773" s="12" t="s">
        <v>3508</v>
      </c>
      <c r="F773" s="16">
        <v>485000</v>
      </c>
    </row>
    <row r="774" spans="1:6" x14ac:dyDescent="0.2">
      <c r="A774" s="8" t="s">
        <v>972</v>
      </c>
      <c r="B774" s="9">
        <v>18310012552</v>
      </c>
      <c r="C774" s="10">
        <f ca="1">TODAY()-2376</f>
        <v>41845</v>
      </c>
      <c r="D774" s="10" t="s">
        <v>2296</v>
      </c>
      <c r="E774" s="12" t="s">
        <v>3429</v>
      </c>
      <c r="F774" s="16">
        <v>390000</v>
      </c>
    </row>
    <row r="775" spans="1:6" x14ac:dyDescent="0.2">
      <c r="A775" s="8" t="s">
        <v>2156</v>
      </c>
      <c r="B775" s="9">
        <v>16103246602</v>
      </c>
      <c r="C775" s="10">
        <f ca="1">TODAY()-2144</f>
        <v>42077</v>
      </c>
      <c r="D775" s="10" t="s">
        <v>2290</v>
      </c>
      <c r="E775" s="12" t="s">
        <v>3442</v>
      </c>
      <c r="F775" s="16">
        <v>415000</v>
      </c>
    </row>
    <row r="776" spans="1:6" x14ac:dyDescent="0.2">
      <c r="A776" s="8" t="s">
        <v>973</v>
      </c>
      <c r="B776" s="9">
        <v>16004025380</v>
      </c>
      <c r="C776" s="10">
        <f ca="1">TODAY()-2796</f>
        <v>41425</v>
      </c>
      <c r="D776" s="10" t="s">
        <v>2300</v>
      </c>
      <c r="E776" s="12" t="s">
        <v>3450</v>
      </c>
      <c r="F776" s="16">
        <v>265000</v>
      </c>
    </row>
    <row r="777" spans="1:6" x14ac:dyDescent="0.2">
      <c r="A777" s="8" t="s">
        <v>1200</v>
      </c>
      <c r="B777" s="9">
        <v>16210064472</v>
      </c>
      <c r="C777" s="10">
        <f ca="1">TODAY()-864</f>
        <v>43357</v>
      </c>
      <c r="D777" s="10" t="s">
        <v>3390</v>
      </c>
      <c r="E777" s="12" t="s">
        <v>3390</v>
      </c>
      <c r="F777" s="16">
        <v>410000</v>
      </c>
    </row>
    <row r="778" spans="1:6" x14ac:dyDescent="0.2">
      <c r="A778" s="8" t="s">
        <v>1142</v>
      </c>
      <c r="B778" s="9">
        <v>28803147363</v>
      </c>
      <c r="C778" s="10">
        <f ca="1">TODAY()-3648</f>
        <v>40573</v>
      </c>
      <c r="D778" s="10" t="s">
        <v>2298</v>
      </c>
      <c r="E778" s="12" t="s">
        <v>2298</v>
      </c>
      <c r="F778" s="16">
        <v>250000</v>
      </c>
    </row>
    <row r="779" spans="1:6" x14ac:dyDescent="0.2">
      <c r="A779" s="8" t="s">
        <v>1169</v>
      </c>
      <c r="B779" s="9">
        <v>26008204719</v>
      </c>
      <c r="C779" s="10">
        <f ca="1">TODAY()-2397</f>
        <v>41824</v>
      </c>
      <c r="D779" s="10" t="s">
        <v>2301</v>
      </c>
      <c r="E779" s="12" t="s">
        <v>3532</v>
      </c>
      <c r="F779" s="16">
        <v>370000</v>
      </c>
    </row>
    <row r="780" spans="1:6" x14ac:dyDescent="0.2">
      <c r="A780" s="8" t="s">
        <v>1808</v>
      </c>
      <c r="B780" s="9">
        <v>27003054140</v>
      </c>
      <c r="C780" s="10">
        <f ca="1">TODAY()-2426</f>
        <v>41795</v>
      </c>
      <c r="D780" s="10" t="s">
        <v>3397</v>
      </c>
      <c r="E780" s="12" t="s">
        <v>3494</v>
      </c>
      <c r="F780" s="16">
        <v>310000</v>
      </c>
    </row>
    <row r="781" spans="1:6" x14ac:dyDescent="0.2">
      <c r="A781" s="8" t="s">
        <v>1021</v>
      </c>
      <c r="B781" s="9">
        <v>28206089635</v>
      </c>
      <c r="C781" s="10">
        <f ca="1">TODAY()-2813</f>
        <v>41408</v>
      </c>
      <c r="D781" s="10" t="s">
        <v>3378</v>
      </c>
      <c r="E781" s="12" t="s">
        <v>3409</v>
      </c>
      <c r="F781" s="16">
        <v>360000</v>
      </c>
    </row>
    <row r="782" spans="1:6" x14ac:dyDescent="0.2">
      <c r="A782" s="8" t="s">
        <v>2249</v>
      </c>
      <c r="B782" s="9">
        <v>26212205416</v>
      </c>
      <c r="C782" s="10">
        <f ca="1">TODAY()-477</f>
        <v>43744</v>
      </c>
      <c r="D782" s="10" t="s">
        <v>3379</v>
      </c>
      <c r="E782" s="12" t="s">
        <v>3403</v>
      </c>
      <c r="F782" s="16">
        <v>225000</v>
      </c>
    </row>
    <row r="783" spans="1:6" x14ac:dyDescent="0.2">
      <c r="A783" s="8" t="s">
        <v>1242</v>
      </c>
      <c r="B783" s="9">
        <v>18906075065</v>
      </c>
      <c r="C783" s="10">
        <f ca="1">TODAY()-831</f>
        <v>43390</v>
      </c>
      <c r="D783" s="10" t="s">
        <v>3385</v>
      </c>
      <c r="E783" s="12" t="s">
        <v>3459</v>
      </c>
      <c r="F783" s="16">
        <v>455000</v>
      </c>
    </row>
    <row r="784" spans="1:6" x14ac:dyDescent="0.2">
      <c r="A784" s="8" t="s">
        <v>2259</v>
      </c>
      <c r="B784" s="9">
        <v>29001031541</v>
      </c>
      <c r="C784" s="10">
        <f ca="1">TODAY()-4464</f>
        <v>39757</v>
      </c>
      <c r="D784" s="10" t="s">
        <v>3379</v>
      </c>
      <c r="E784" s="12" t="s">
        <v>3528</v>
      </c>
      <c r="F784" s="16">
        <v>265000</v>
      </c>
    </row>
    <row r="785" spans="1:6" x14ac:dyDescent="0.2">
      <c r="A785" s="8" t="s">
        <v>1623</v>
      </c>
      <c r="B785" s="9">
        <v>26605063977</v>
      </c>
      <c r="C785" s="10">
        <f ca="1">TODAY()-498</f>
        <v>43723</v>
      </c>
      <c r="D785" s="10" t="s">
        <v>3396</v>
      </c>
      <c r="E785" s="12" t="s">
        <v>3408</v>
      </c>
      <c r="F785" s="16">
        <v>355000</v>
      </c>
    </row>
    <row r="786" spans="1:6" x14ac:dyDescent="0.2">
      <c r="A786" s="8" t="s">
        <v>2208</v>
      </c>
      <c r="B786" s="9">
        <v>26306031554</v>
      </c>
      <c r="C786" s="10">
        <f ca="1">TODAY()-3611</f>
        <v>40610</v>
      </c>
      <c r="D786" s="10" t="s">
        <v>2299</v>
      </c>
      <c r="E786" s="12" t="s">
        <v>3527</v>
      </c>
      <c r="F786" s="16">
        <v>185000</v>
      </c>
    </row>
    <row r="787" spans="1:6" x14ac:dyDescent="0.2">
      <c r="A787" s="8" t="s">
        <v>673</v>
      </c>
      <c r="B787" s="9">
        <v>16503201399</v>
      </c>
      <c r="C787" s="10">
        <f ca="1">TODAY()-427</f>
        <v>43794</v>
      </c>
      <c r="D787" s="10" t="s">
        <v>2298</v>
      </c>
      <c r="E787" s="12" t="s">
        <v>3503</v>
      </c>
      <c r="F787" s="16">
        <v>290000</v>
      </c>
    </row>
    <row r="788" spans="1:6" x14ac:dyDescent="0.2">
      <c r="A788" s="8" t="s">
        <v>1999</v>
      </c>
      <c r="B788" s="9">
        <v>27105282122</v>
      </c>
      <c r="C788" s="10">
        <f ca="1">TODAY()-2201</f>
        <v>42020</v>
      </c>
      <c r="D788" s="10" t="s">
        <v>2292</v>
      </c>
      <c r="E788" s="12" t="s">
        <v>3478</v>
      </c>
      <c r="F788" s="16">
        <v>310000</v>
      </c>
    </row>
    <row r="789" spans="1:6" x14ac:dyDescent="0.2">
      <c r="A789" s="8" t="s">
        <v>2200</v>
      </c>
      <c r="B789" s="9">
        <v>27102014216</v>
      </c>
      <c r="C789" s="10">
        <f ca="1">TODAY()-1239</f>
        <v>42982</v>
      </c>
      <c r="D789" s="10" t="s">
        <v>2302</v>
      </c>
      <c r="E789" s="12" t="s">
        <v>3496</v>
      </c>
      <c r="F789" s="16">
        <v>390000</v>
      </c>
    </row>
    <row r="790" spans="1:6" x14ac:dyDescent="0.2">
      <c r="A790" s="8" t="s">
        <v>1276</v>
      </c>
      <c r="B790" s="9">
        <v>18210134220</v>
      </c>
      <c r="C790" s="10">
        <f ca="1">TODAY()-4368</f>
        <v>39853</v>
      </c>
      <c r="D790" s="10" t="s">
        <v>3386</v>
      </c>
      <c r="E790" s="12" t="s">
        <v>3409</v>
      </c>
      <c r="F790" s="16">
        <v>435000</v>
      </c>
    </row>
    <row r="791" spans="1:6" x14ac:dyDescent="0.2">
      <c r="A791" s="8" t="s">
        <v>710</v>
      </c>
      <c r="B791" s="9">
        <v>26307147340</v>
      </c>
      <c r="C791" s="10">
        <f ca="1">TODAY()-316</f>
        <v>43905</v>
      </c>
      <c r="D791" s="10" t="s">
        <v>3394</v>
      </c>
      <c r="E791" s="12" t="s">
        <v>3394</v>
      </c>
      <c r="F791" s="16">
        <v>445000</v>
      </c>
    </row>
    <row r="792" spans="1:6" x14ac:dyDescent="0.2">
      <c r="A792" s="8" t="s">
        <v>739</v>
      </c>
      <c r="B792" s="9">
        <v>18107245475</v>
      </c>
      <c r="C792" s="10">
        <f ca="1">TODAY()-2875</f>
        <v>41346</v>
      </c>
      <c r="D792" s="10" t="s">
        <v>2298</v>
      </c>
      <c r="E792" s="12" t="s">
        <v>3512</v>
      </c>
      <c r="F792" s="16">
        <v>475000</v>
      </c>
    </row>
    <row r="793" spans="1:6" x14ac:dyDescent="0.2">
      <c r="A793" s="8" t="s">
        <v>580</v>
      </c>
      <c r="B793" s="9">
        <v>16005024066</v>
      </c>
      <c r="C793" s="10">
        <f ca="1">TODAY()-3628</f>
        <v>40593</v>
      </c>
      <c r="D793" s="10" t="s">
        <v>2287</v>
      </c>
      <c r="E793" s="12" t="s">
        <v>3403</v>
      </c>
      <c r="F793" s="16">
        <v>400000</v>
      </c>
    </row>
    <row r="794" spans="1:6" x14ac:dyDescent="0.2">
      <c r="A794" s="8" t="s">
        <v>1099</v>
      </c>
      <c r="B794" s="9">
        <v>16412209066</v>
      </c>
      <c r="C794" s="10">
        <f ca="1">TODAY()-4498</f>
        <v>39723</v>
      </c>
      <c r="D794" s="10" t="s">
        <v>2299</v>
      </c>
      <c r="E794" s="12" t="s">
        <v>3554</v>
      </c>
      <c r="F794" s="16">
        <v>480000</v>
      </c>
    </row>
    <row r="795" spans="1:6" x14ac:dyDescent="0.2">
      <c r="A795" s="8" t="s">
        <v>2091</v>
      </c>
      <c r="B795" s="9">
        <v>26804123349</v>
      </c>
      <c r="C795" s="10">
        <f ca="1">TODAY()-2682</f>
        <v>41539</v>
      </c>
      <c r="D795" s="10" t="s">
        <v>3396</v>
      </c>
      <c r="E795" s="12" t="s">
        <v>3477</v>
      </c>
      <c r="F795" s="16">
        <v>400000</v>
      </c>
    </row>
    <row r="796" spans="1:6" x14ac:dyDescent="0.2">
      <c r="A796" s="8" t="s">
        <v>820</v>
      </c>
      <c r="B796" s="9">
        <v>26212131910</v>
      </c>
      <c r="C796" s="10">
        <f ca="1">TODAY()-2888</f>
        <v>41333</v>
      </c>
      <c r="D796" s="10" t="s">
        <v>3396</v>
      </c>
      <c r="E796" s="12" t="s">
        <v>3487</v>
      </c>
      <c r="F796" s="16">
        <v>335000</v>
      </c>
    </row>
    <row r="797" spans="1:6" x14ac:dyDescent="0.2">
      <c r="A797" s="8" t="s">
        <v>599</v>
      </c>
      <c r="B797" s="9">
        <v>17003028394</v>
      </c>
      <c r="C797" s="10">
        <f ca="1">TODAY()-2917</f>
        <v>41304</v>
      </c>
      <c r="D797" s="10" t="s">
        <v>3395</v>
      </c>
      <c r="E797" s="12" t="s">
        <v>3521</v>
      </c>
      <c r="F797" s="16">
        <v>325000</v>
      </c>
    </row>
    <row r="798" spans="1:6" x14ac:dyDescent="0.2">
      <c r="A798" s="8" t="s">
        <v>1193</v>
      </c>
      <c r="B798" s="9">
        <v>17701024294</v>
      </c>
      <c r="C798" s="10">
        <f ca="1">TODAY()-4444</f>
        <v>39777</v>
      </c>
      <c r="D798" s="10" t="s">
        <v>3402</v>
      </c>
      <c r="E798" s="12" t="s">
        <v>3534</v>
      </c>
      <c r="F798" s="16">
        <v>360000</v>
      </c>
    </row>
    <row r="799" spans="1:6" x14ac:dyDescent="0.2">
      <c r="A799" s="8" t="s">
        <v>1727</v>
      </c>
      <c r="B799" s="9">
        <v>27407067096</v>
      </c>
      <c r="C799" s="10">
        <f ca="1">TODAY()-3013</f>
        <v>41208</v>
      </c>
      <c r="D799" s="10" t="s">
        <v>2298</v>
      </c>
      <c r="E799" s="12" t="s">
        <v>3406</v>
      </c>
      <c r="F799" s="16">
        <v>180000</v>
      </c>
    </row>
    <row r="800" spans="1:6" x14ac:dyDescent="0.2">
      <c r="A800" s="8" t="s">
        <v>2076</v>
      </c>
      <c r="B800" s="9">
        <v>18002253508</v>
      </c>
      <c r="C800" s="10">
        <f ca="1">TODAY()-3364</f>
        <v>40857</v>
      </c>
      <c r="D800" s="10" t="s">
        <v>3383</v>
      </c>
      <c r="E800" s="12" t="s">
        <v>3421</v>
      </c>
      <c r="F800" s="16">
        <v>320000</v>
      </c>
    </row>
    <row r="801" spans="1:6" x14ac:dyDescent="0.2">
      <c r="A801" s="8" t="s">
        <v>1015</v>
      </c>
      <c r="B801" s="9">
        <v>18302147769</v>
      </c>
      <c r="C801" s="10">
        <f ca="1">TODAY()-614</f>
        <v>43607</v>
      </c>
      <c r="D801" s="10" t="s">
        <v>2288</v>
      </c>
      <c r="E801" s="12" t="s">
        <v>3420</v>
      </c>
      <c r="F801" s="16">
        <v>245000</v>
      </c>
    </row>
    <row r="802" spans="1:6" x14ac:dyDescent="0.2">
      <c r="A802" s="8" t="s">
        <v>709</v>
      </c>
      <c r="B802" s="9">
        <v>16201046916</v>
      </c>
      <c r="C802" s="10">
        <f ca="1">TODAY()-442</f>
        <v>43779</v>
      </c>
      <c r="D802" s="10" t="s">
        <v>2289</v>
      </c>
      <c r="E802" s="12" t="s">
        <v>3509</v>
      </c>
      <c r="F802" s="16">
        <v>205000</v>
      </c>
    </row>
    <row r="803" spans="1:6" x14ac:dyDescent="0.2">
      <c r="A803" s="8" t="s">
        <v>1932</v>
      </c>
      <c r="B803" s="9">
        <v>28401218924</v>
      </c>
      <c r="C803" s="10">
        <f ca="1">TODAY()-844</f>
        <v>43377</v>
      </c>
      <c r="D803" s="10" t="s">
        <v>3383</v>
      </c>
      <c r="E803" s="12" t="s">
        <v>3472</v>
      </c>
      <c r="F803" s="16">
        <v>475000</v>
      </c>
    </row>
    <row r="804" spans="1:6" x14ac:dyDescent="0.2">
      <c r="A804" s="8" t="s">
        <v>570</v>
      </c>
      <c r="B804" s="9">
        <v>17607255721</v>
      </c>
      <c r="C804" s="10">
        <f ca="1">TODAY()-4911</f>
        <v>39310</v>
      </c>
      <c r="D804" s="10" t="s">
        <v>3399</v>
      </c>
      <c r="E804" s="12" t="s">
        <v>3399</v>
      </c>
      <c r="F804" s="16">
        <v>330000</v>
      </c>
    </row>
    <row r="805" spans="1:6" x14ac:dyDescent="0.2">
      <c r="A805" s="8" t="s">
        <v>1868</v>
      </c>
      <c r="B805" s="9">
        <v>28104271337</v>
      </c>
      <c r="C805" s="10">
        <f ca="1">TODAY()-1628</f>
        <v>42593</v>
      </c>
      <c r="D805" s="10" t="s">
        <v>2292</v>
      </c>
      <c r="E805" s="12" t="s">
        <v>3518</v>
      </c>
      <c r="F805" s="16">
        <v>270000</v>
      </c>
    </row>
    <row r="806" spans="1:6" x14ac:dyDescent="0.2">
      <c r="A806" s="8" t="s">
        <v>1389</v>
      </c>
      <c r="B806" s="9">
        <v>26506113632</v>
      </c>
      <c r="C806" s="10">
        <f ca="1">TODAY()-2916</f>
        <v>41305</v>
      </c>
      <c r="D806" s="10" t="s">
        <v>3385</v>
      </c>
      <c r="E806" s="12" t="s">
        <v>3417</v>
      </c>
      <c r="F806" s="16">
        <v>295000</v>
      </c>
    </row>
    <row r="807" spans="1:6" x14ac:dyDescent="0.2">
      <c r="A807" s="8" t="s">
        <v>476</v>
      </c>
      <c r="B807" s="9">
        <v>17610123486</v>
      </c>
      <c r="C807" s="10">
        <f ca="1">TODAY()-3391</f>
        <v>40830</v>
      </c>
      <c r="D807" s="10" t="s">
        <v>3380</v>
      </c>
      <c r="E807" s="12" t="s">
        <v>3560</v>
      </c>
      <c r="F807" s="16">
        <v>270000</v>
      </c>
    </row>
    <row r="808" spans="1:6" x14ac:dyDescent="0.2">
      <c r="A808" s="8" t="s">
        <v>1704</v>
      </c>
      <c r="B808" s="9">
        <v>28209179246</v>
      </c>
      <c r="C808" s="10">
        <f ca="1">TODAY()-545</f>
        <v>43676</v>
      </c>
      <c r="D808" s="10" t="s">
        <v>2288</v>
      </c>
      <c r="E808" s="12" t="s">
        <v>3429</v>
      </c>
      <c r="F808" s="16">
        <v>180000</v>
      </c>
    </row>
    <row r="809" spans="1:6" x14ac:dyDescent="0.2">
      <c r="A809" s="8" t="s">
        <v>817</v>
      </c>
      <c r="B809" s="9">
        <v>17701195302</v>
      </c>
      <c r="C809" s="10">
        <f ca="1">TODAY()-4431</f>
        <v>39790</v>
      </c>
      <c r="D809" s="10" t="s">
        <v>2296</v>
      </c>
      <c r="E809" s="12" t="s">
        <v>3433</v>
      </c>
      <c r="F809" s="16">
        <v>185000</v>
      </c>
    </row>
    <row r="810" spans="1:6" x14ac:dyDescent="0.2">
      <c r="A810" s="8" t="s">
        <v>2173</v>
      </c>
      <c r="B810" s="9">
        <v>26802217357</v>
      </c>
      <c r="C810" s="10">
        <f ca="1">TODAY()-164</f>
        <v>44057</v>
      </c>
      <c r="D810" s="10" t="s">
        <v>3402</v>
      </c>
      <c r="E810" s="12" t="s">
        <v>3477</v>
      </c>
      <c r="F810" s="16">
        <v>405000</v>
      </c>
    </row>
    <row r="811" spans="1:6" x14ac:dyDescent="0.2">
      <c r="A811" s="8" t="s">
        <v>477</v>
      </c>
      <c r="B811" s="9">
        <v>28108183646</v>
      </c>
      <c r="C811" s="10">
        <f ca="1">TODAY()-465</f>
        <v>43756</v>
      </c>
      <c r="D811" s="10" t="s">
        <v>3388</v>
      </c>
      <c r="E811" s="12" t="s">
        <v>3480</v>
      </c>
      <c r="F811" s="16">
        <v>285000</v>
      </c>
    </row>
    <row r="812" spans="1:6" x14ac:dyDescent="0.2">
      <c r="A812" s="8" t="s">
        <v>2218</v>
      </c>
      <c r="B812" s="9">
        <v>17805117970</v>
      </c>
      <c r="C812" s="10">
        <f ca="1">TODAY()-4592</f>
        <v>39629</v>
      </c>
      <c r="D812" s="10" t="s">
        <v>3388</v>
      </c>
      <c r="E812" s="12" t="s">
        <v>3508</v>
      </c>
      <c r="F812" s="16">
        <v>425000</v>
      </c>
    </row>
    <row r="813" spans="1:6" x14ac:dyDescent="0.2">
      <c r="A813" s="8" t="s">
        <v>1744</v>
      </c>
      <c r="B813" s="9">
        <v>17312251567</v>
      </c>
      <c r="C813" s="10">
        <f ca="1">TODAY()-3966</f>
        <v>40255</v>
      </c>
      <c r="D813" s="10" t="s">
        <v>3386</v>
      </c>
      <c r="E813" s="12" t="s">
        <v>3423</v>
      </c>
      <c r="F813" s="16">
        <v>240000</v>
      </c>
    </row>
    <row r="814" spans="1:6" x14ac:dyDescent="0.2">
      <c r="A814" s="8" t="s">
        <v>1520</v>
      </c>
      <c r="B814" s="9">
        <v>26203257678</v>
      </c>
      <c r="C814" s="10">
        <f ca="1">TODAY()-3615</f>
        <v>40606</v>
      </c>
      <c r="D814" s="10" t="s">
        <v>2287</v>
      </c>
      <c r="E814" s="12" t="s">
        <v>3513</v>
      </c>
      <c r="F814" s="16">
        <v>410000</v>
      </c>
    </row>
    <row r="815" spans="1:6" x14ac:dyDescent="0.2">
      <c r="A815" s="8" t="s">
        <v>1444</v>
      </c>
      <c r="B815" s="9">
        <v>18102267677</v>
      </c>
      <c r="C815" s="10">
        <f ca="1">TODAY()-757</f>
        <v>43464</v>
      </c>
      <c r="D815" s="10" t="s">
        <v>2294</v>
      </c>
      <c r="E815" s="12" t="s">
        <v>3525</v>
      </c>
      <c r="F815" s="16">
        <v>235000</v>
      </c>
    </row>
    <row r="816" spans="1:6" x14ac:dyDescent="0.2">
      <c r="A816" s="8" t="s">
        <v>2078</v>
      </c>
      <c r="B816" s="9">
        <v>17801151438</v>
      </c>
      <c r="C816" s="10">
        <f ca="1">TODAY()-649</f>
        <v>43572</v>
      </c>
      <c r="D816" s="10" t="s">
        <v>3382</v>
      </c>
      <c r="E816" s="12" t="s">
        <v>3452</v>
      </c>
      <c r="F816" s="16">
        <v>410000</v>
      </c>
    </row>
    <row r="817" spans="1:6" x14ac:dyDescent="0.2">
      <c r="A817" s="8" t="s">
        <v>1676</v>
      </c>
      <c r="B817" s="9">
        <v>16507012631</v>
      </c>
      <c r="C817" s="10">
        <f ca="1">TODAY()-2112</f>
        <v>42109</v>
      </c>
      <c r="D817" s="10" t="s">
        <v>3400</v>
      </c>
      <c r="E817" s="12" t="s">
        <v>3435</v>
      </c>
      <c r="F817" s="16">
        <v>440000</v>
      </c>
    </row>
    <row r="818" spans="1:6" x14ac:dyDescent="0.2">
      <c r="A818" s="8" t="s">
        <v>1870</v>
      </c>
      <c r="B818" s="9">
        <v>26512081196</v>
      </c>
      <c r="C818" s="10">
        <f ca="1">TODAY()-4795</f>
        <v>39426</v>
      </c>
      <c r="D818" s="10" t="s">
        <v>2299</v>
      </c>
      <c r="E818" s="12" t="s">
        <v>3540</v>
      </c>
      <c r="F818" s="16">
        <v>290000</v>
      </c>
    </row>
    <row r="819" spans="1:6" x14ac:dyDescent="0.2">
      <c r="A819" s="8" t="s">
        <v>1633</v>
      </c>
      <c r="B819" s="9">
        <v>17608258954</v>
      </c>
      <c r="C819" s="10">
        <f ca="1">TODAY()-2806</f>
        <v>41415</v>
      </c>
      <c r="D819" s="10" t="s">
        <v>3388</v>
      </c>
      <c r="E819" s="12" t="s">
        <v>3433</v>
      </c>
      <c r="F819" s="16">
        <v>425000</v>
      </c>
    </row>
    <row r="820" spans="1:6" x14ac:dyDescent="0.2">
      <c r="A820" s="8" t="s">
        <v>715</v>
      </c>
      <c r="B820" s="9">
        <v>16712073676</v>
      </c>
      <c r="C820" s="10">
        <f ca="1">TODAY()-1302</f>
        <v>42919</v>
      </c>
      <c r="D820" s="10" t="s">
        <v>3384</v>
      </c>
      <c r="E820" s="12" t="s">
        <v>3415</v>
      </c>
      <c r="F820" s="16">
        <v>210000</v>
      </c>
    </row>
    <row r="821" spans="1:6" x14ac:dyDescent="0.2">
      <c r="A821" s="8" t="s">
        <v>1911</v>
      </c>
      <c r="B821" s="9">
        <v>17609088911</v>
      </c>
      <c r="C821" s="10">
        <f ca="1">TODAY()-2627</f>
        <v>41594</v>
      </c>
      <c r="D821" s="10" t="s">
        <v>3378</v>
      </c>
      <c r="E821" s="12" t="s">
        <v>3406</v>
      </c>
      <c r="F821" s="16">
        <v>300000</v>
      </c>
    </row>
    <row r="822" spans="1:6" x14ac:dyDescent="0.2">
      <c r="A822" s="8" t="s">
        <v>1860</v>
      </c>
      <c r="B822" s="9">
        <v>28710281517</v>
      </c>
      <c r="C822" s="10">
        <f ca="1">TODAY()-718</f>
        <v>43503</v>
      </c>
      <c r="D822" s="10" t="s">
        <v>3395</v>
      </c>
      <c r="E822" s="12" t="s">
        <v>3478</v>
      </c>
      <c r="F822" s="16">
        <v>330000</v>
      </c>
    </row>
    <row r="823" spans="1:6" x14ac:dyDescent="0.2">
      <c r="A823" s="8" t="s">
        <v>1311</v>
      </c>
      <c r="B823" s="9">
        <v>17103055877</v>
      </c>
      <c r="C823" s="10">
        <f ca="1">TODAY()-3207</f>
        <v>41014</v>
      </c>
      <c r="D823" s="10" t="s">
        <v>2301</v>
      </c>
      <c r="E823" s="12" t="s">
        <v>3543</v>
      </c>
      <c r="F823" s="16">
        <v>460000</v>
      </c>
    </row>
    <row r="824" spans="1:6" x14ac:dyDescent="0.2">
      <c r="A824" s="8" t="s">
        <v>943</v>
      </c>
      <c r="B824" s="9">
        <v>16805278184</v>
      </c>
      <c r="C824" s="10">
        <f ca="1">TODAY()-2033</f>
        <v>42188</v>
      </c>
      <c r="D824" s="10" t="s">
        <v>2287</v>
      </c>
      <c r="E824" s="12" t="s">
        <v>3542</v>
      </c>
      <c r="F824" s="16">
        <v>435000</v>
      </c>
    </row>
    <row r="825" spans="1:6" x14ac:dyDescent="0.2">
      <c r="A825" s="8" t="s">
        <v>1926</v>
      </c>
      <c r="B825" s="9">
        <v>18708035924</v>
      </c>
      <c r="C825" s="10">
        <f ca="1">TODAY()-2218</f>
        <v>42003</v>
      </c>
      <c r="D825" s="10" t="s">
        <v>2294</v>
      </c>
      <c r="E825" s="12" t="s">
        <v>3412</v>
      </c>
      <c r="F825" s="16">
        <v>315000</v>
      </c>
    </row>
    <row r="826" spans="1:6" x14ac:dyDescent="0.2">
      <c r="A826" s="8" t="s">
        <v>1212</v>
      </c>
      <c r="B826" s="9">
        <v>19011154754</v>
      </c>
      <c r="C826" s="10">
        <f ca="1">TODAY()-1875</f>
        <v>42346</v>
      </c>
      <c r="D826" s="10" t="s">
        <v>2294</v>
      </c>
      <c r="E826" s="12" t="s">
        <v>3455</v>
      </c>
      <c r="F826" s="16">
        <v>445000</v>
      </c>
    </row>
    <row r="827" spans="1:6" x14ac:dyDescent="0.2">
      <c r="A827" s="8" t="s">
        <v>504</v>
      </c>
      <c r="B827" s="9">
        <v>18711252220</v>
      </c>
      <c r="C827" s="10">
        <f ca="1">TODAY()-3625</f>
        <v>40596</v>
      </c>
      <c r="D827" s="10" t="s">
        <v>2285</v>
      </c>
      <c r="E827" s="12" t="s">
        <v>3426</v>
      </c>
      <c r="F827" s="16">
        <v>235000</v>
      </c>
    </row>
    <row r="828" spans="1:6" x14ac:dyDescent="0.2">
      <c r="A828" s="8" t="s">
        <v>1407</v>
      </c>
      <c r="B828" s="9">
        <v>28611286255</v>
      </c>
      <c r="C828" s="10">
        <f ca="1">TODAY()-2307</f>
        <v>41914</v>
      </c>
      <c r="D828" s="10" t="s">
        <v>3391</v>
      </c>
      <c r="E828" s="12" t="s">
        <v>3537</v>
      </c>
      <c r="F828" s="16">
        <v>285000</v>
      </c>
    </row>
    <row r="829" spans="1:6" x14ac:dyDescent="0.2">
      <c r="A829" s="8" t="s">
        <v>1219</v>
      </c>
      <c r="B829" s="9">
        <v>28512227621</v>
      </c>
      <c r="C829" s="10">
        <f ca="1">TODAY()-2568</f>
        <v>41653</v>
      </c>
      <c r="D829" s="10" t="s">
        <v>2284</v>
      </c>
      <c r="E829" s="12" t="s">
        <v>3508</v>
      </c>
      <c r="F829" s="16">
        <v>435000</v>
      </c>
    </row>
    <row r="830" spans="1:6" x14ac:dyDescent="0.2">
      <c r="A830" s="8" t="s">
        <v>1266</v>
      </c>
      <c r="B830" s="9">
        <v>18804231739</v>
      </c>
      <c r="C830" s="10">
        <f ca="1">TODAY()-1134</f>
        <v>43087</v>
      </c>
      <c r="D830" s="10" t="s">
        <v>2286</v>
      </c>
      <c r="E830" s="12" t="s">
        <v>3479</v>
      </c>
      <c r="F830" s="16">
        <v>310000</v>
      </c>
    </row>
    <row r="831" spans="1:6" x14ac:dyDescent="0.2">
      <c r="A831" s="8" t="s">
        <v>1459</v>
      </c>
      <c r="B831" s="9">
        <v>16307199747</v>
      </c>
      <c r="C831" s="10">
        <f ca="1">TODAY()-1009</f>
        <v>43212</v>
      </c>
      <c r="D831" s="10" t="s">
        <v>3390</v>
      </c>
      <c r="E831" s="12" t="s">
        <v>3526</v>
      </c>
      <c r="F831" s="16">
        <v>265000</v>
      </c>
    </row>
    <row r="832" spans="1:6" x14ac:dyDescent="0.2">
      <c r="A832" s="8" t="s">
        <v>861</v>
      </c>
      <c r="B832" s="9">
        <v>27206056911</v>
      </c>
      <c r="C832" s="10">
        <f ca="1">TODAY()-54</f>
        <v>44167</v>
      </c>
      <c r="D832" s="10" t="s">
        <v>3398</v>
      </c>
      <c r="E832" s="12" t="s">
        <v>3552</v>
      </c>
      <c r="F832" s="16">
        <v>350000</v>
      </c>
    </row>
    <row r="833" spans="1:6" x14ac:dyDescent="0.2">
      <c r="A833" s="8" t="s">
        <v>515</v>
      </c>
      <c r="B833" s="9">
        <v>28502211287</v>
      </c>
      <c r="C833" s="10">
        <f ca="1">TODAY()-248</f>
        <v>43973</v>
      </c>
      <c r="D833" s="10" t="s">
        <v>3387</v>
      </c>
      <c r="E833" s="12" t="s">
        <v>3460</v>
      </c>
      <c r="F833" s="16">
        <v>380000</v>
      </c>
    </row>
    <row r="834" spans="1:6" x14ac:dyDescent="0.2">
      <c r="A834" s="8" t="s">
        <v>1921</v>
      </c>
      <c r="B834" s="9">
        <v>19012012417</v>
      </c>
      <c r="C834" s="10">
        <f ca="1">TODAY()-749</f>
        <v>43472</v>
      </c>
      <c r="D834" s="10" t="s">
        <v>2297</v>
      </c>
      <c r="E834" s="12" t="s">
        <v>3482</v>
      </c>
      <c r="F834" s="16">
        <v>500000</v>
      </c>
    </row>
    <row r="835" spans="1:6" x14ac:dyDescent="0.2">
      <c r="A835" s="8" t="s">
        <v>447</v>
      </c>
      <c r="B835" s="9">
        <v>26702174942</v>
      </c>
      <c r="C835" s="10">
        <f ca="1">TODAY()-2982</f>
        <v>41239</v>
      </c>
      <c r="D835" s="10" t="s">
        <v>3378</v>
      </c>
      <c r="E835" s="12" t="s">
        <v>3561</v>
      </c>
      <c r="F835" s="16">
        <v>345000</v>
      </c>
    </row>
    <row r="836" spans="1:6" x14ac:dyDescent="0.2">
      <c r="A836" s="8" t="s">
        <v>1479</v>
      </c>
      <c r="B836" s="9">
        <v>27704128776</v>
      </c>
      <c r="C836" s="10">
        <f ca="1">TODAY()-68</f>
        <v>44153</v>
      </c>
      <c r="D836" s="10" t="s">
        <v>3389</v>
      </c>
      <c r="E836" s="12" t="s">
        <v>3498</v>
      </c>
      <c r="F836" s="16">
        <v>395000</v>
      </c>
    </row>
    <row r="837" spans="1:6" x14ac:dyDescent="0.2">
      <c r="A837" s="8" t="s">
        <v>790</v>
      </c>
      <c r="B837" s="9">
        <v>26011191594</v>
      </c>
      <c r="C837" s="10">
        <f ca="1">TODAY()-4409</f>
        <v>39812</v>
      </c>
      <c r="D837" s="10" t="s">
        <v>3396</v>
      </c>
      <c r="E837" s="12" t="s">
        <v>3476</v>
      </c>
      <c r="F837" s="16">
        <v>180000</v>
      </c>
    </row>
    <row r="838" spans="1:6" x14ac:dyDescent="0.2">
      <c r="A838" s="8" t="s">
        <v>1726</v>
      </c>
      <c r="B838" s="9">
        <v>27103034424</v>
      </c>
      <c r="C838" s="10">
        <f ca="1">TODAY()-1344</f>
        <v>42877</v>
      </c>
      <c r="D838" s="10" t="s">
        <v>3382</v>
      </c>
      <c r="E838" s="12" t="s">
        <v>3548</v>
      </c>
      <c r="F838" s="16">
        <v>400000</v>
      </c>
    </row>
    <row r="839" spans="1:6" x14ac:dyDescent="0.2">
      <c r="A839" s="8" t="s">
        <v>631</v>
      </c>
      <c r="B839" s="9">
        <v>16004199827</v>
      </c>
      <c r="C839" s="10">
        <f ca="1">TODAY()-341</f>
        <v>43880</v>
      </c>
      <c r="D839" s="10" t="s">
        <v>2294</v>
      </c>
      <c r="E839" s="12" t="s">
        <v>3437</v>
      </c>
      <c r="F839" s="16">
        <v>355000</v>
      </c>
    </row>
    <row r="840" spans="1:6" x14ac:dyDescent="0.2">
      <c r="A840" s="8" t="s">
        <v>2228</v>
      </c>
      <c r="B840" s="9">
        <v>17511245360</v>
      </c>
      <c r="C840" s="10">
        <f ca="1">TODAY()-2719</f>
        <v>41502</v>
      </c>
      <c r="D840" s="10" t="s">
        <v>3391</v>
      </c>
      <c r="E840" s="12" t="s">
        <v>3549</v>
      </c>
      <c r="F840" s="16">
        <v>410000</v>
      </c>
    </row>
    <row r="841" spans="1:6" x14ac:dyDescent="0.2">
      <c r="A841" s="8" t="s">
        <v>836</v>
      </c>
      <c r="B841" s="9">
        <v>17104229824</v>
      </c>
      <c r="C841" s="10">
        <f ca="1">TODAY()-3538</f>
        <v>40683</v>
      </c>
      <c r="D841" s="10" t="s">
        <v>2288</v>
      </c>
      <c r="E841" s="12" t="s">
        <v>3553</v>
      </c>
      <c r="F841" s="16">
        <v>380000</v>
      </c>
    </row>
    <row r="842" spans="1:6" x14ac:dyDescent="0.2">
      <c r="A842" s="8" t="s">
        <v>1356</v>
      </c>
      <c r="B842" s="9">
        <v>26504256986</v>
      </c>
      <c r="C842" s="10">
        <f ca="1">TODAY()-818</f>
        <v>43403</v>
      </c>
      <c r="D842" s="10" t="s">
        <v>3392</v>
      </c>
      <c r="E842" s="12" t="s">
        <v>3473</v>
      </c>
      <c r="F842" s="16">
        <v>495000</v>
      </c>
    </row>
    <row r="843" spans="1:6" x14ac:dyDescent="0.2">
      <c r="A843" s="8" t="s">
        <v>1082</v>
      </c>
      <c r="B843" s="9">
        <v>16504188822</v>
      </c>
      <c r="C843" s="10">
        <f ca="1">TODAY()-940</f>
        <v>43281</v>
      </c>
      <c r="D843" s="10" t="s">
        <v>2296</v>
      </c>
      <c r="E843" s="12" t="s">
        <v>3544</v>
      </c>
      <c r="F843" s="16">
        <v>175000</v>
      </c>
    </row>
    <row r="844" spans="1:6" x14ac:dyDescent="0.2">
      <c r="A844" s="8" t="s">
        <v>1312</v>
      </c>
      <c r="B844" s="9">
        <v>17307167186</v>
      </c>
      <c r="C844" s="10">
        <f ca="1">TODAY()-2140</f>
        <v>42081</v>
      </c>
      <c r="D844" s="10" t="s">
        <v>3383</v>
      </c>
      <c r="E844" s="12" t="s">
        <v>3469</v>
      </c>
      <c r="F844" s="16">
        <v>300000</v>
      </c>
    </row>
    <row r="845" spans="1:6" x14ac:dyDescent="0.2">
      <c r="A845" s="8" t="s">
        <v>2152</v>
      </c>
      <c r="B845" s="9">
        <v>16211069265</v>
      </c>
      <c r="C845" s="10">
        <f ca="1">TODAY()-2110</f>
        <v>42111</v>
      </c>
      <c r="D845" s="10" t="s">
        <v>2287</v>
      </c>
      <c r="E845" s="12" t="s">
        <v>2287</v>
      </c>
      <c r="F845" s="16">
        <v>375000</v>
      </c>
    </row>
    <row r="846" spans="1:6" x14ac:dyDescent="0.2">
      <c r="A846" s="8" t="s">
        <v>639</v>
      </c>
      <c r="B846" s="9">
        <v>16804034983</v>
      </c>
      <c r="C846" s="10">
        <f ca="1">TODAY()-2946</f>
        <v>41275</v>
      </c>
      <c r="D846" s="10" t="s">
        <v>3397</v>
      </c>
      <c r="E846" s="12" t="s">
        <v>3512</v>
      </c>
      <c r="F846" s="16">
        <v>410000</v>
      </c>
    </row>
    <row r="847" spans="1:6" x14ac:dyDescent="0.2">
      <c r="A847" s="8" t="s">
        <v>1286</v>
      </c>
      <c r="B847" s="9">
        <v>26004137852</v>
      </c>
      <c r="C847" s="10">
        <f ca="1">TODAY()-932</f>
        <v>43289</v>
      </c>
      <c r="D847" s="10" t="s">
        <v>3388</v>
      </c>
      <c r="E847" s="12" t="s">
        <v>3416</v>
      </c>
      <c r="F847" s="16">
        <v>320000</v>
      </c>
    </row>
    <row r="848" spans="1:6" x14ac:dyDescent="0.2">
      <c r="A848" s="8" t="s">
        <v>1573</v>
      </c>
      <c r="B848" s="9">
        <v>27807232492</v>
      </c>
      <c r="C848" s="10">
        <f ca="1">TODAY()-4631</f>
        <v>39590</v>
      </c>
      <c r="D848" s="10" t="s">
        <v>3396</v>
      </c>
      <c r="E848" s="12" t="s">
        <v>3538</v>
      </c>
      <c r="F848" s="16">
        <v>185000</v>
      </c>
    </row>
    <row r="849" spans="1:6" x14ac:dyDescent="0.2">
      <c r="A849" s="8" t="s">
        <v>1221</v>
      </c>
      <c r="B849" s="9">
        <v>19002214381</v>
      </c>
      <c r="C849" s="10">
        <f ca="1">TODAY()-4597</f>
        <v>39624</v>
      </c>
      <c r="D849" s="10" t="s">
        <v>2301</v>
      </c>
      <c r="E849" s="12" t="s">
        <v>3474</v>
      </c>
      <c r="F849" s="16">
        <v>240000</v>
      </c>
    </row>
    <row r="850" spans="1:6" x14ac:dyDescent="0.2">
      <c r="A850" s="8" t="s">
        <v>931</v>
      </c>
      <c r="B850" s="9">
        <v>18503262459</v>
      </c>
      <c r="C850" s="10">
        <f ca="1">TODAY()-2889</f>
        <v>41332</v>
      </c>
      <c r="D850" s="10" t="s">
        <v>3392</v>
      </c>
      <c r="E850" s="12" t="s">
        <v>3543</v>
      </c>
      <c r="F850" s="16">
        <v>365000</v>
      </c>
    </row>
    <row r="851" spans="1:6" x14ac:dyDescent="0.2">
      <c r="A851" s="8" t="s">
        <v>522</v>
      </c>
      <c r="B851" s="9">
        <v>17504111288</v>
      </c>
      <c r="C851" s="10">
        <f ca="1">TODAY()-668</f>
        <v>43553</v>
      </c>
      <c r="D851" s="10" t="s">
        <v>3394</v>
      </c>
      <c r="E851" s="12" t="s">
        <v>3405</v>
      </c>
      <c r="F851" s="16">
        <v>220000</v>
      </c>
    </row>
    <row r="852" spans="1:6" x14ac:dyDescent="0.2">
      <c r="A852" s="8" t="s">
        <v>1913</v>
      </c>
      <c r="B852" s="9">
        <v>28311058580</v>
      </c>
      <c r="C852" s="10">
        <f ca="1">TODAY()-1658</f>
        <v>42563</v>
      </c>
      <c r="D852" s="10" t="s">
        <v>2297</v>
      </c>
      <c r="E852" s="12" t="s">
        <v>3487</v>
      </c>
      <c r="F852" s="16">
        <v>285000</v>
      </c>
    </row>
    <row r="853" spans="1:6" x14ac:dyDescent="0.2">
      <c r="A853" s="8" t="s">
        <v>1056</v>
      </c>
      <c r="B853" s="9">
        <v>17907115435</v>
      </c>
      <c r="C853" s="10">
        <f ca="1">TODAY()-16</f>
        <v>44205</v>
      </c>
      <c r="D853" s="10" t="s">
        <v>3389</v>
      </c>
      <c r="E853" s="12" t="s">
        <v>3544</v>
      </c>
      <c r="F853" s="16">
        <v>430000</v>
      </c>
    </row>
    <row r="854" spans="1:6" x14ac:dyDescent="0.2">
      <c r="A854" s="8" t="s">
        <v>1018</v>
      </c>
      <c r="B854" s="9">
        <v>26012017215</v>
      </c>
      <c r="C854" s="10">
        <f ca="1">TODAY()-4301</f>
        <v>39920</v>
      </c>
      <c r="D854" s="10" t="s">
        <v>2287</v>
      </c>
      <c r="E854" s="12" t="s">
        <v>3405</v>
      </c>
      <c r="F854" s="16">
        <v>495000</v>
      </c>
    </row>
    <row r="855" spans="1:6" x14ac:dyDescent="0.2">
      <c r="A855" s="8" t="s">
        <v>831</v>
      </c>
      <c r="B855" s="9">
        <v>17809173960</v>
      </c>
      <c r="C855" s="10">
        <f ca="1">TODAY()-2976</f>
        <v>41245</v>
      </c>
      <c r="D855" s="10" t="s">
        <v>3386</v>
      </c>
      <c r="E855" s="12" t="s">
        <v>3403</v>
      </c>
      <c r="F855" s="16">
        <v>240000</v>
      </c>
    </row>
    <row r="856" spans="1:6" x14ac:dyDescent="0.2">
      <c r="A856" s="8" t="s">
        <v>1578</v>
      </c>
      <c r="B856" s="9">
        <v>18902066621</v>
      </c>
      <c r="C856" s="10">
        <f ca="1">TODAY()-3874</f>
        <v>40347</v>
      </c>
      <c r="D856" s="10" t="s">
        <v>3392</v>
      </c>
      <c r="E856" s="12" t="s">
        <v>3484</v>
      </c>
      <c r="F856" s="16">
        <v>305000</v>
      </c>
    </row>
    <row r="857" spans="1:6" x14ac:dyDescent="0.2">
      <c r="A857" s="8" t="s">
        <v>1819</v>
      </c>
      <c r="B857" s="9">
        <v>17110266690</v>
      </c>
      <c r="C857" s="10">
        <f ca="1">TODAY()-2251</f>
        <v>41970</v>
      </c>
      <c r="D857" s="10" t="s">
        <v>2300</v>
      </c>
      <c r="E857" s="12" t="s">
        <v>3476</v>
      </c>
      <c r="F857" s="16">
        <v>190000</v>
      </c>
    </row>
    <row r="858" spans="1:6" x14ac:dyDescent="0.2">
      <c r="A858" s="8" t="s">
        <v>1778</v>
      </c>
      <c r="B858" s="9">
        <v>18806017848</v>
      </c>
      <c r="C858" s="10">
        <f ca="1">TODAY()-4453</f>
        <v>39768</v>
      </c>
      <c r="D858" s="10" t="s">
        <v>3390</v>
      </c>
      <c r="E858" s="12" t="s">
        <v>3390</v>
      </c>
      <c r="F858" s="16">
        <v>485000</v>
      </c>
    </row>
    <row r="859" spans="1:6" x14ac:dyDescent="0.2">
      <c r="A859" s="8" t="s">
        <v>662</v>
      </c>
      <c r="B859" s="9">
        <v>17009234075</v>
      </c>
      <c r="C859" s="10">
        <f ca="1">TODAY()-2855</f>
        <v>41366</v>
      </c>
      <c r="D859" s="10" t="s">
        <v>3390</v>
      </c>
      <c r="E859" s="12" t="s">
        <v>3553</v>
      </c>
      <c r="F859" s="16">
        <v>250000</v>
      </c>
    </row>
    <row r="860" spans="1:6" x14ac:dyDescent="0.2">
      <c r="A860" s="8" t="s">
        <v>462</v>
      </c>
      <c r="B860" s="9">
        <v>27903033386</v>
      </c>
      <c r="C860" s="10">
        <f ca="1">TODAY()-2324</f>
        <v>41897</v>
      </c>
      <c r="D860" s="10" t="s">
        <v>3385</v>
      </c>
      <c r="E860" s="12" t="s">
        <v>3454</v>
      </c>
      <c r="F860" s="16">
        <v>255000</v>
      </c>
    </row>
    <row r="861" spans="1:6" x14ac:dyDescent="0.2">
      <c r="A861" s="8" t="s">
        <v>2135</v>
      </c>
      <c r="B861" s="9">
        <v>27304012733</v>
      </c>
      <c r="C861" s="10">
        <f ca="1">TODAY()-4975</f>
        <v>39246</v>
      </c>
      <c r="D861" s="10" t="s">
        <v>3392</v>
      </c>
      <c r="E861" s="12" t="s">
        <v>3437</v>
      </c>
      <c r="F861" s="16">
        <v>210000</v>
      </c>
    </row>
    <row r="862" spans="1:6" x14ac:dyDescent="0.2">
      <c r="A862" s="8" t="s">
        <v>1047</v>
      </c>
      <c r="B862" s="9">
        <v>18105139892</v>
      </c>
      <c r="C862" s="10">
        <f ca="1">TODAY()-4728</f>
        <v>39493</v>
      </c>
      <c r="D862" s="10" t="s">
        <v>3390</v>
      </c>
      <c r="E862" s="12" t="s">
        <v>3471</v>
      </c>
      <c r="F862" s="16">
        <v>485000</v>
      </c>
    </row>
    <row r="863" spans="1:6" x14ac:dyDescent="0.2">
      <c r="A863" s="8" t="s">
        <v>1564</v>
      </c>
      <c r="B863" s="9">
        <v>16203286961</v>
      </c>
      <c r="C863" s="10">
        <f ca="1">TODAY()-2203</f>
        <v>42018</v>
      </c>
      <c r="D863" s="10" t="s">
        <v>2304</v>
      </c>
      <c r="E863" s="12" t="s">
        <v>3406</v>
      </c>
      <c r="F863" s="16">
        <v>335000</v>
      </c>
    </row>
    <row r="864" spans="1:6" x14ac:dyDescent="0.2">
      <c r="A864" s="8" t="s">
        <v>934</v>
      </c>
      <c r="B864" s="9">
        <v>27811158545</v>
      </c>
      <c r="C864" s="10">
        <f ca="1">TODAY()-3726</f>
        <v>40495</v>
      </c>
      <c r="D864" s="10" t="s">
        <v>2284</v>
      </c>
      <c r="E864" s="12" t="s">
        <v>3461</v>
      </c>
      <c r="F864" s="16">
        <v>215000</v>
      </c>
    </row>
    <row r="865" spans="1:6" x14ac:dyDescent="0.2">
      <c r="A865" s="8" t="s">
        <v>474</v>
      </c>
      <c r="B865" s="9">
        <v>18203135362</v>
      </c>
      <c r="C865" s="10">
        <f ca="1">TODAY()-3353</f>
        <v>40868</v>
      </c>
      <c r="D865" s="10" t="s">
        <v>2302</v>
      </c>
      <c r="E865" s="12" t="s">
        <v>3453</v>
      </c>
      <c r="F865" s="16">
        <v>205000</v>
      </c>
    </row>
    <row r="866" spans="1:6" x14ac:dyDescent="0.2">
      <c r="A866" s="8" t="s">
        <v>659</v>
      </c>
      <c r="B866" s="9">
        <v>18402033877</v>
      </c>
      <c r="C866" s="10">
        <f ca="1">TODAY()-484</f>
        <v>43737</v>
      </c>
      <c r="D866" s="10" t="s">
        <v>2302</v>
      </c>
      <c r="E866" s="12" t="s">
        <v>3442</v>
      </c>
      <c r="F866" s="16">
        <v>390000</v>
      </c>
    </row>
    <row r="867" spans="1:6" x14ac:dyDescent="0.2">
      <c r="A867" s="8" t="s">
        <v>810</v>
      </c>
      <c r="B867" s="9">
        <v>28301259521</v>
      </c>
      <c r="C867" s="10">
        <f ca="1">TODAY()-2306</f>
        <v>41915</v>
      </c>
      <c r="D867" s="10" t="s">
        <v>3391</v>
      </c>
      <c r="E867" s="12" t="s">
        <v>3470</v>
      </c>
      <c r="F867" s="16">
        <v>460000</v>
      </c>
    </row>
    <row r="868" spans="1:6" x14ac:dyDescent="0.2">
      <c r="A868" s="8" t="s">
        <v>695</v>
      </c>
      <c r="B868" s="9">
        <v>18203179954</v>
      </c>
      <c r="C868" s="10">
        <f ca="1">TODAY()-2966</f>
        <v>41255</v>
      </c>
      <c r="D868" s="10" t="s">
        <v>3379</v>
      </c>
      <c r="E868" s="12" t="s">
        <v>3492</v>
      </c>
      <c r="F868" s="16">
        <v>200000</v>
      </c>
    </row>
    <row r="869" spans="1:6" x14ac:dyDescent="0.2">
      <c r="A869" s="8" t="s">
        <v>935</v>
      </c>
      <c r="B869" s="9">
        <v>27203175809</v>
      </c>
      <c r="C869" s="10">
        <f ca="1">TODAY()-3974</f>
        <v>40247</v>
      </c>
      <c r="D869" s="10" t="s">
        <v>2286</v>
      </c>
      <c r="E869" s="12" t="s">
        <v>3507</v>
      </c>
      <c r="F869" s="16">
        <v>475000</v>
      </c>
    </row>
    <row r="870" spans="1:6" x14ac:dyDescent="0.2">
      <c r="A870" s="8" t="s">
        <v>2134</v>
      </c>
      <c r="B870" s="9">
        <v>26702099046</v>
      </c>
      <c r="C870" s="10">
        <f ca="1">TODAY()-3422</f>
        <v>40799</v>
      </c>
      <c r="D870" s="10" t="s">
        <v>2293</v>
      </c>
      <c r="E870" s="12" t="s">
        <v>3517</v>
      </c>
      <c r="F870" s="16">
        <v>185000</v>
      </c>
    </row>
    <row r="871" spans="1:6" x14ac:dyDescent="0.2">
      <c r="A871" s="8" t="s">
        <v>1207</v>
      </c>
      <c r="B871" s="9">
        <v>28407218079</v>
      </c>
      <c r="C871" s="10">
        <f ca="1">TODAY()-2804</f>
        <v>41417</v>
      </c>
      <c r="D871" s="10" t="s">
        <v>3379</v>
      </c>
      <c r="E871" s="12" t="s">
        <v>3443</v>
      </c>
      <c r="F871" s="16">
        <v>295000</v>
      </c>
    </row>
    <row r="872" spans="1:6" x14ac:dyDescent="0.2">
      <c r="A872" s="8" t="s">
        <v>1587</v>
      </c>
      <c r="B872" s="9">
        <v>16008057554</v>
      </c>
      <c r="C872" s="10">
        <f ca="1">TODAY()-52</f>
        <v>44169</v>
      </c>
      <c r="D872" s="10" t="s">
        <v>3380</v>
      </c>
      <c r="E872" s="12" t="s">
        <v>3420</v>
      </c>
      <c r="F872" s="16">
        <v>470000</v>
      </c>
    </row>
    <row r="873" spans="1:6" x14ac:dyDescent="0.2">
      <c r="A873" s="8" t="s">
        <v>471</v>
      </c>
      <c r="B873" s="9">
        <v>18511236556</v>
      </c>
      <c r="C873" s="10">
        <f ca="1">TODAY()-689</f>
        <v>43532</v>
      </c>
      <c r="D873" s="10" t="s">
        <v>3394</v>
      </c>
      <c r="E873" s="12" t="s">
        <v>3519</v>
      </c>
      <c r="F873" s="16">
        <v>325000</v>
      </c>
    </row>
    <row r="874" spans="1:6" x14ac:dyDescent="0.2">
      <c r="A874" s="8" t="s">
        <v>848</v>
      </c>
      <c r="B874" s="9">
        <v>26612236665</v>
      </c>
      <c r="C874" s="10">
        <f ca="1">TODAY()-93</f>
        <v>44128</v>
      </c>
      <c r="D874" s="10" t="s">
        <v>3391</v>
      </c>
      <c r="E874" s="12" t="s">
        <v>3442</v>
      </c>
      <c r="F874" s="16">
        <v>440000</v>
      </c>
    </row>
    <row r="875" spans="1:6" x14ac:dyDescent="0.2">
      <c r="A875" s="8" t="s">
        <v>867</v>
      </c>
      <c r="B875" s="9">
        <v>16401181801</v>
      </c>
      <c r="C875" s="10">
        <f ca="1">TODAY()-123</f>
        <v>44098</v>
      </c>
      <c r="D875" s="10" t="s">
        <v>3401</v>
      </c>
      <c r="E875" s="12" t="s">
        <v>3523</v>
      </c>
      <c r="F875" s="16">
        <v>270000</v>
      </c>
    </row>
    <row r="876" spans="1:6" x14ac:dyDescent="0.2">
      <c r="A876" s="8" t="s">
        <v>1322</v>
      </c>
      <c r="B876" s="9">
        <v>28908159300</v>
      </c>
      <c r="C876" s="10">
        <f ca="1">TODAY()-4007</f>
        <v>40214</v>
      </c>
      <c r="D876" s="10" t="s">
        <v>2294</v>
      </c>
      <c r="E876" s="12" t="s">
        <v>3472</v>
      </c>
      <c r="F876" s="16">
        <v>285000</v>
      </c>
    </row>
    <row r="877" spans="1:6" x14ac:dyDescent="0.2">
      <c r="A877" s="8" t="s">
        <v>1369</v>
      </c>
      <c r="B877" s="9">
        <v>27210189468</v>
      </c>
      <c r="C877" s="10">
        <f ca="1">TODAY()-4239</f>
        <v>39982</v>
      </c>
      <c r="D877" s="10" t="s">
        <v>2301</v>
      </c>
      <c r="E877" s="12" t="s">
        <v>3403</v>
      </c>
      <c r="F877" s="16">
        <v>395000</v>
      </c>
    </row>
    <row r="878" spans="1:6" x14ac:dyDescent="0.2">
      <c r="A878" s="8" t="s">
        <v>1793</v>
      </c>
      <c r="B878" s="9">
        <v>16104068997</v>
      </c>
      <c r="C878" s="10">
        <f ca="1">TODAY()-2326</f>
        <v>41895</v>
      </c>
      <c r="D878" s="10" t="s">
        <v>2286</v>
      </c>
      <c r="E878" s="12" t="s">
        <v>3443</v>
      </c>
      <c r="F878" s="16">
        <v>225000</v>
      </c>
    </row>
    <row r="879" spans="1:6" x14ac:dyDescent="0.2">
      <c r="A879" s="8" t="s">
        <v>1318</v>
      </c>
      <c r="B879" s="9">
        <v>16212164661</v>
      </c>
      <c r="C879" s="10">
        <f ca="1">TODAY()-4886</f>
        <v>39335</v>
      </c>
      <c r="D879" s="10" t="s">
        <v>3389</v>
      </c>
      <c r="E879" s="12" t="s">
        <v>3389</v>
      </c>
      <c r="F879" s="16">
        <v>270000</v>
      </c>
    </row>
    <row r="880" spans="1:6" x14ac:dyDescent="0.2">
      <c r="A880" s="8" t="s">
        <v>1470</v>
      </c>
      <c r="B880" s="9">
        <v>17001051926</v>
      </c>
      <c r="C880" s="10">
        <f ca="1">TODAY()-4610</f>
        <v>39611</v>
      </c>
      <c r="D880" s="10" t="s">
        <v>3399</v>
      </c>
      <c r="E880" s="12" t="s">
        <v>3523</v>
      </c>
      <c r="F880" s="16">
        <v>375000</v>
      </c>
    </row>
    <row r="881" spans="1:6" x14ac:dyDescent="0.2">
      <c r="A881" s="8" t="s">
        <v>1059</v>
      </c>
      <c r="B881" s="9">
        <v>17802098217</v>
      </c>
      <c r="C881" s="10">
        <f ca="1">TODAY()-74</f>
        <v>44147</v>
      </c>
      <c r="D881" s="10" t="s">
        <v>3398</v>
      </c>
      <c r="E881" s="12" t="s">
        <v>3529</v>
      </c>
      <c r="F881" s="16">
        <v>225000</v>
      </c>
    </row>
    <row r="882" spans="1:6" x14ac:dyDescent="0.2">
      <c r="A882" s="8" t="s">
        <v>1679</v>
      </c>
      <c r="B882" s="9">
        <v>26308044340</v>
      </c>
      <c r="C882" s="10">
        <f ca="1">TODAY()-121</f>
        <v>44100</v>
      </c>
      <c r="D882" s="10" t="s">
        <v>3394</v>
      </c>
      <c r="E882" s="12" t="s">
        <v>3438</v>
      </c>
      <c r="F882" s="16">
        <v>420000</v>
      </c>
    </row>
    <row r="883" spans="1:6" x14ac:dyDescent="0.2">
      <c r="A883" s="8" t="s">
        <v>1971</v>
      </c>
      <c r="B883" s="9">
        <v>27203169535</v>
      </c>
      <c r="C883" s="10">
        <f ca="1">TODAY()-1543</f>
        <v>42678</v>
      </c>
      <c r="D883" s="10" t="s">
        <v>3402</v>
      </c>
      <c r="E883" s="12" t="s">
        <v>3480</v>
      </c>
      <c r="F883" s="16">
        <v>350000</v>
      </c>
    </row>
    <row r="884" spans="1:6" x14ac:dyDescent="0.2">
      <c r="A884" s="8" t="s">
        <v>1855</v>
      </c>
      <c r="B884" s="9">
        <v>18812058382</v>
      </c>
      <c r="C884" s="10">
        <f ca="1">TODAY()-870</f>
        <v>43351</v>
      </c>
      <c r="D884" s="10" t="s">
        <v>2288</v>
      </c>
      <c r="E884" s="12" t="s">
        <v>3414</v>
      </c>
      <c r="F884" s="16">
        <v>465000</v>
      </c>
    </row>
    <row r="885" spans="1:6" x14ac:dyDescent="0.2">
      <c r="A885" s="8" t="s">
        <v>1644</v>
      </c>
      <c r="B885" s="9">
        <v>18303231891</v>
      </c>
      <c r="C885" s="10">
        <f ca="1">TODAY()-1232</f>
        <v>42989</v>
      </c>
      <c r="D885" s="10" t="s">
        <v>2301</v>
      </c>
      <c r="E885" s="12" t="s">
        <v>2301</v>
      </c>
      <c r="F885" s="16">
        <v>185000</v>
      </c>
    </row>
    <row r="886" spans="1:6" x14ac:dyDescent="0.2">
      <c r="A886" s="8" t="s">
        <v>1150</v>
      </c>
      <c r="B886" s="9">
        <v>16111216434</v>
      </c>
      <c r="C886" s="10">
        <f ca="1">TODAY()-3750</f>
        <v>40471</v>
      </c>
      <c r="D886" s="10" t="s">
        <v>3384</v>
      </c>
      <c r="E886" s="12" t="s">
        <v>3384</v>
      </c>
      <c r="F886" s="16">
        <v>345000</v>
      </c>
    </row>
    <row r="887" spans="1:6" x14ac:dyDescent="0.2">
      <c r="A887" s="8" t="s">
        <v>1972</v>
      </c>
      <c r="B887" s="9">
        <v>26207022539</v>
      </c>
      <c r="C887" s="10">
        <f ca="1">TODAY()-2512</f>
        <v>41709</v>
      </c>
      <c r="D887" s="10" t="s">
        <v>2302</v>
      </c>
      <c r="E887" s="12" t="s">
        <v>2302</v>
      </c>
      <c r="F887" s="16">
        <v>205000</v>
      </c>
    </row>
    <row r="888" spans="1:6" x14ac:dyDescent="0.2">
      <c r="A888" s="8" t="s">
        <v>623</v>
      </c>
      <c r="B888" s="9">
        <v>28102171347</v>
      </c>
      <c r="C888" s="10">
        <f ca="1">TODAY()-1915</f>
        <v>42306</v>
      </c>
      <c r="D888" s="10" t="s">
        <v>3400</v>
      </c>
      <c r="E888" s="12" t="s">
        <v>3456</v>
      </c>
      <c r="F888" s="16">
        <v>195000</v>
      </c>
    </row>
    <row r="889" spans="1:6" x14ac:dyDescent="0.2">
      <c r="A889" s="8" t="s">
        <v>1792</v>
      </c>
      <c r="B889" s="9">
        <v>26204222030</v>
      </c>
      <c r="C889" s="10">
        <f ca="1">TODAY()-26</f>
        <v>44195</v>
      </c>
      <c r="D889" s="10" t="s">
        <v>2291</v>
      </c>
      <c r="E889" s="12" t="s">
        <v>3481</v>
      </c>
      <c r="F889" s="16">
        <v>285000</v>
      </c>
    </row>
    <row r="890" spans="1:6" x14ac:dyDescent="0.2">
      <c r="A890" s="8" t="s">
        <v>1641</v>
      </c>
      <c r="B890" s="9">
        <v>17906163848</v>
      </c>
      <c r="C890" s="10">
        <f ca="1">TODAY()-3095</f>
        <v>41126</v>
      </c>
      <c r="D890" s="10" t="s">
        <v>3388</v>
      </c>
      <c r="E890" s="12" t="s">
        <v>3495</v>
      </c>
      <c r="F890" s="16">
        <v>175000</v>
      </c>
    </row>
    <row r="891" spans="1:6" x14ac:dyDescent="0.2">
      <c r="A891" s="8" t="s">
        <v>684</v>
      </c>
      <c r="B891" s="9">
        <v>18005131251</v>
      </c>
      <c r="C891" s="10">
        <f ca="1">TODAY()-4037</f>
        <v>40184</v>
      </c>
      <c r="D891" s="10" t="s">
        <v>2284</v>
      </c>
      <c r="E891" s="12" t="s">
        <v>3508</v>
      </c>
      <c r="F891" s="16">
        <v>305000</v>
      </c>
    </row>
    <row r="892" spans="1:6" x14ac:dyDescent="0.2">
      <c r="A892" s="8" t="s">
        <v>1566</v>
      </c>
      <c r="B892" s="9">
        <v>28206108005</v>
      </c>
      <c r="C892" s="10">
        <f ca="1">TODAY()-4155</f>
        <v>40066</v>
      </c>
      <c r="D892" s="10" t="s">
        <v>2288</v>
      </c>
      <c r="E892" s="12" t="s">
        <v>3514</v>
      </c>
      <c r="F892" s="16">
        <v>390000</v>
      </c>
    </row>
    <row r="893" spans="1:6" x14ac:dyDescent="0.2">
      <c r="A893" s="8" t="s">
        <v>1666</v>
      </c>
      <c r="B893" s="9">
        <v>26111199916</v>
      </c>
      <c r="C893" s="10">
        <f ca="1">TODAY()-4251</f>
        <v>39970</v>
      </c>
      <c r="D893" s="10" t="s">
        <v>3389</v>
      </c>
      <c r="E893" s="12" t="s">
        <v>3389</v>
      </c>
      <c r="F893" s="16">
        <v>485000</v>
      </c>
    </row>
    <row r="894" spans="1:6" x14ac:dyDescent="0.2">
      <c r="A894" s="8" t="s">
        <v>1482</v>
      </c>
      <c r="B894" s="9">
        <v>28803117223</v>
      </c>
      <c r="C894" s="10">
        <f ca="1">TODAY()-810</f>
        <v>43411</v>
      </c>
      <c r="D894" s="10" t="s">
        <v>3379</v>
      </c>
      <c r="E894" s="12" t="s">
        <v>3405</v>
      </c>
      <c r="F894" s="16">
        <v>390000</v>
      </c>
    </row>
    <row r="895" spans="1:6" x14ac:dyDescent="0.2">
      <c r="A895" s="8" t="s">
        <v>1052</v>
      </c>
      <c r="B895" s="9">
        <v>16709039331</v>
      </c>
      <c r="C895" s="10">
        <f ca="1">TODAY()-2462</f>
        <v>41759</v>
      </c>
      <c r="D895" s="10" t="s">
        <v>3391</v>
      </c>
      <c r="E895" s="12" t="s">
        <v>3391</v>
      </c>
      <c r="F895" s="16">
        <v>500000</v>
      </c>
    </row>
    <row r="896" spans="1:6" x14ac:dyDescent="0.2">
      <c r="A896" s="8" t="s">
        <v>668</v>
      </c>
      <c r="B896" s="9">
        <v>16810195193</v>
      </c>
      <c r="C896" s="10">
        <f ca="1">TODAY()-213</f>
        <v>44008</v>
      </c>
      <c r="D896" s="10" t="s">
        <v>2298</v>
      </c>
      <c r="E896" s="12" t="s">
        <v>3537</v>
      </c>
      <c r="F896" s="16">
        <v>465000</v>
      </c>
    </row>
    <row r="897" spans="1:6" x14ac:dyDescent="0.2">
      <c r="A897" s="8" t="s">
        <v>1443</v>
      </c>
      <c r="B897" s="9">
        <v>28703193757</v>
      </c>
      <c r="C897" s="10">
        <f ca="1">TODAY()-800</f>
        <v>43421</v>
      </c>
      <c r="D897" s="10" t="s">
        <v>3378</v>
      </c>
      <c r="E897" s="12" t="s">
        <v>3446</v>
      </c>
      <c r="F897" s="16">
        <v>225000</v>
      </c>
    </row>
    <row r="898" spans="1:6" x14ac:dyDescent="0.2">
      <c r="A898" s="8" t="s">
        <v>1851</v>
      </c>
      <c r="B898" s="9">
        <v>29006026651</v>
      </c>
      <c r="C898" s="10">
        <f ca="1">TODAY()-2868</f>
        <v>41353</v>
      </c>
      <c r="D898" s="10" t="s">
        <v>3383</v>
      </c>
      <c r="E898" s="12" t="s">
        <v>3516</v>
      </c>
      <c r="F898" s="16">
        <v>480000</v>
      </c>
    </row>
    <row r="899" spans="1:6" x14ac:dyDescent="0.2">
      <c r="A899" s="8" t="s">
        <v>1645</v>
      </c>
      <c r="B899" s="9">
        <v>28608222470</v>
      </c>
      <c r="C899" s="10">
        <f ca="1">TODAY()-638</f>
        <v>43583</v>
      </c>
      <c r="D899" s="10" t="s">
        <v>2289</v>
      </c>
      <c r="E899" s="12" t="s">
        <v>3505</v>
      </c>
      <c r="F899" s="16">
        <v>425000</v>
      </c>
    </row>
    <row r="900" spans="1:6" x14ac:dyDescent="0.2">
      <c r="A900" s="8" t="s">
        <v>777</v>
      </c>
      <c r="B900" s="9">
        <v>26908273213</v>
      </c>
      <c r="C900" s="10">
        <f ca="1">TODAY()-142</f>
        <v>44079</v>
      </c>
      <c r="D900" s="10" t="s">
        <v>2294</v>
      </c>
      <c r="E900" s="12" t="s">
        <v>3440</v>
      </c>
      <c r="F900" s="16">
        <v>495000</v>
      </c>
    </row>
    <row r="901" spans="1:6" x14ac:dyDescent="0.2">
      <c r="A901" s="8" t="s">
        <v>1822</v>
      </c>
      <c r="B901" s="9">
        <v>17112222933</v>
      </c>
      <c r="C901" s="10">
        <f ca="1">TODAY()-318</f>
        <v>43903</v>
      </c>
      <c r="D901" s="10" t="s">
        <v>3399</v>
      </c>
      <c r="E901" s="12" t="s">
        <v>3500</v>
      </c>
      <c r="F901" s="16">
        <v>205000</v>
      </c>
    </row>
    <row r="902" spans="1:6" x14ac:dyDescent="0.2">
      <c r="A902" s="8" t="s">
        <v>1583</v>
      </c>
      <c r="B902" s="9">
        <v>17210106740</v>
      </c>
      <c r="C902" s="10">
        <f ca="1">TODAY()-1579</f>
        <v>42642</v>
      </c>
      <c r="D902" s="10" t="s">
        <v>3393</v>
      </c>
      <c r="E902" s="12" t="s">
        <v>3507</v>
      </c>
      <c r="F902" s="16">
        <v>255000</v>
      </c>
    </row>
    <row r="903" spans="1:6" x14ac:dyDescent="0.2">
      <c r="A903" s="8" t="s">
        <v>503</v>
      </c>
      <c r="B903" s="9">
        <v>17311073322</v>
      </c>
      <c r="C903" s="10">
        <f ca="1">TODAY()-4859</f>
        <v>39362</v>
      </c>
      <c r="D903" s="10" t="s">
        <v>2285</v>
      </c>
      <c r="E903" s="12" t="s">
        <v>3469</v>
      </c>
      <c r="F903" s="16">
        <v>240000</v>
      </c>
    </row>
    <row r="904" spans="1:6" x14ac:dyDescent="0.2">
      <c r="A904" s="8" t="s">
        <v>796</v>
      </c>
      <c r="B904" s="9">
        <v>27409117505</v>
      </c>
      <c r="C904" s="10">
        <f ca="1">TODAY()-2677</f>
        <v>41544</v>
      </c>
      <c r="D904" s="10" t="s">
        <v>3387</v>
      </c>
      <c r="E904" s="12" t="s">
        <v>3493</v>
      </c>
      <c r="F904" s="16">
        <v>460000</v>
      </c>
    </row>
    <row r="905" spans="1:6" x14ac:dyDescent="0.2">
      <c r="A905" s="8" t="s">
        <v>1254</v>
      </c>
      <c r="B905" s="9">
        <v>27506053036</v>
      </c>
      <c r="C905" s="10">
        <f ca="1">TODAY()-693</f>
        <v>43528</v>
      </c>
      <c r="D905" s="10" t="s">
        <v>3399</v>
      </c>
      <c r="E905" s="12" t="s">
        <v>3562</v>
      </c>
      <c r="F905" s="16">
        <v>200000</v>
      </c>
    </row>
    <row r="906" spans="1:6" x14ac:dyDescent="0.2">
      <c r="A906" s="8" t="s">
        <v>1370</v>
      </c>
      <c r="B906" s="9">
        <v>27002139656</v>
      </c>
      <c r="C906" s="10">
        <f ca="1">TODAY()-1155</f>
        <v>43066</v>
      </c>
      <c r="D906" s="10" t="s">
        <v>3389</v>
      </c>
      <c r="E906" s="12" t="s">
        <v>3501</v>
      </c>
      <c r="F906" s="16">
        <v>430000</v>
      </c>
    </row>
    <row r="907" spans="1:6" x14ac:dyDescent="0.2">
      <c r="A907" s="8" t="s">
        <v>1586</v>
      </c>
      <c r="B907" s="9">
        <v>18708206367</v>
      </c>
      <c r="C907" s="10">
        <f ca="1">TODAY()-2161</f>
        <v>42060</v>
      </c>
      <c r="D907" s="10" t="s">
        <v>3379</v>
      </c>
      <c r="E907" s="12" t="s">
        <v>3459</v>
      </c>
      <c r="F907" s="16">
        <v>225000</v>
      </c>
    </row>
    <row r="908" spans="1:6" x14ac:dyDescent="0.2">
      <c r="A908" s="8" t="s">
        <v>1907</v>
      </c>
      <c r="B908" s="9">
        <v>16407269787</v>
      </c>
      <c r="C908" s="10">
        <f ca="1">TODAY()-704</f>
        <v>43517</v>
      </c>
      <c r="D908" s="10" t="s">
        <v>3392</v>
      </c>
      <c r="E908" s="12" t="s">
        <v>3508</v>
      </c>
      <c r="F908" s="16">
        <v>305000</v>
      </c>
    </row>
    <row r="909" spans="1:6" x14ac:dyDescent="0.2">
      <c r="A909" s="8" t="s">
        <v>2153</v>
      </c>
      <c r="B909" s="9">
        <v>18106038147</v>
      </c>
      <c r="C909" s="10">
        <f ca="1">TODAY()-3929</f>
        <v>40292</v>
      </c>
      <c r="D909" s="10" t="s">
        <v>3399</v>
      </c>
      <c r="E909" s="12" t="s">
        <v>3455</v>
      </c>
      <c r="F909" s="16">
        <v>305000</v>
      </c>
    </row>
    <row r="910" spans="1:6" x14ac:dyDescent="0.2">
      <c r="A910" s="8" t="s">
        <v>1816</v>
      </c>
      <c r="B910" s="9">
        <v>26107274857</v>
      </c>
      <c r="C910" s="10">
        <f ca="1">TODAY()-3470</f>
        <v>40751</v>
      </c>
      <c r="D910" s="10" t="s">
        <v>3383</v>
      </c>
      <c r="E910" s="12" t="s">
        <v>3453</v>
      </c>
      <c r="F910" s="16">
        <v>495000</v>
      </c>
    </row>
    <row r="911" spans="1:6" x14ac:dyDescent="0.2">
      <c r="A911" s="8" t="s">
        <v>1432</v>
      </c>
      <c r="B911" s="9">
        <v>16501022521</v>
      </c>
      <c r="C911" s="10">
        <f ca="1">TODAY()-2131</f>
        <v>42090</v>
      </c>
      <c r="D911" s="10" t="s">
        <v>2285</v>
      </c>
      <c r="E911" s="12" t="s">
        <v>3514</v>
      </c>
      <c r="F911" s="16">
        <v>445000</v>
      </c>
    </row>
    <row r="912" spans="1:6" x14ac:dyDescent="0.2">
      <c r="A912" s="8" t="s">
        <v>1050</v>
      </c>
      <c r="B912" s="9">
        <v>26706187160</v>
      </c>
      <c r="C912" s="10">
        <f ca="1">TODAY()-1644</f>
        <v>42577</v>
      </c>
      <c r="D912" s="10" t="s">
        <v>3379</v>
      </c>
      <c r="E912" s="12" t="s">
        <v>3487</v>
      </c>
      <c r="F912" s="16">
        <v>415000</v>
      </c>
    </row>
    <row r="913" spans="1:6" x14ac:dyDescent="0.2">
      <c r="A913" s="8" t="s">
        <v>805</v>
      </c>
      <c r="B913" s="9">
        <v>17105206730</v>
      </c>
      <c r="C913" s="10">
        <f ca="1">TODAY()-2720</f>
        <v>41501</v>
      </c>
      <c r="D913" s="10" t="s">
        <v>2299</v>
      </c>
      <c r="E913" s="12" t="s">
        <v>3435</v>
      </c>
      <c r="F913" s="16">
        <v>385000</v>
      </c>
    </row>
    <row r="914" spans="1:6" x14ac:dyDescent="0.2">
      <c r="A914" s="8" t="s">
        <v>1514</v>
      </c>
      <c r="B914" s="9">
        <v>27604194083</v>
      </c>
      <c r="C914" s="10">
        <f ca="1">TODAY()-4640</f>
        <v>39581</v>
      </c>
      <c r="D914" s="10" t="s">
        <v>3391</v>
      </c>
      <c r="E914" s="12" t="s">
        <v>3451</v>
      </c>
      <c r="F914" s="16">
        <v>355000</v>
      </c>
    </row>
    <row r="915" spans="1:6" x14ac:dyDescent="0.2">
      <c r="A915" s="8" t="s">
        <v>1721</v>
      </c>
      <c r="B915" s="9">
        <v>27105255199</v>
      </c>
      <c r="C915" s="10">
        <f ca="1">TODAY()-1819</f>
        <v>42402</v>
      </c>
      <c r="D915" s="10" t="s">
        <v>2294</v>
      </c>
      <c r="E915" s="12" t="s">
        <v>3551</v>
      </c>
      <c r="F915" s="16">
        <v>380000</v>
      </c>
    </row>
    <row r="916" spans="1:6" x14ac:dyDescent="0.2">
      <c r="A916" s="8" t="s">
        <v>2225</v>
      </c>
      <c r="B916" s="9">
        <v>16104231196</v>
      </c>
      <c r="C916" s="10">
        <f ca="1">TODAY()-2197</f>
        <v>42024</v>
      </c>
      <c r="D916" s="10" t="s">
        <v>2286</v>
      </c>
      <c r="E916" s="12" t="s">
        <v>3481</v>
      </c>
      <c r="F916" s="16">
        <v>340000</v>
      </c>
    </row>
    <row r="917" spans="1:6" x14ac:dyDescent="0.2">
      <c r="A917" s="8" t="s">
        <v>465</v>
      </c>
      <c r="B917" s="9">
        <v>27610284931</v>
      </c>
      <c r="C917" s="10">
        <f ca="1">TODAY()-277</f>
        <v>43944</v>
      </c>
      <c r="D917" s="10" t="s">
        <v>3388</v>
      </c>
      <c r="E917" s="12" t="s">
        <v>3530</v>
      </c>
      <c r="F917" s="16">
        <v>430000</v>
      </c>
    </row>
    <row r="918" spans="1:6" x14ac:dyDescent="0.2">
      <c r="A918" s="8" t="s">
        <v>1061</v>
      </c>
      <c r="B918" s="9">
        <v>17905011559</v>
      </c>
      <c r="C918" s="10">
        <f ca="1">TODAY()-4685</f>
        <v>39536</v>
      </c>
      <c r="D918" s="10" t="s">
        <v>3400</v>
      </c>
      <c r="E918" s="12" t="s">
        <v>3476</v>
      </c>
      <c r="F918" s="16">
        <v>430000</v>
      </c>
    </row>
    <row r="919" spans="1:6" x14ac:dyDescent="0.2">
      <c r="A919" s="8" t="s">
        <v>895</v>
      </c>
      <c r="B919" s="9">
        <v>27303262160</v>
      </c>
      <c r="C919" s="10">
        <f ca="1">TODAY()-4424</f>
        <v>39797</v>
      </c>
      <c r="D919" s="10" t="s">
        <v>3378</v>
      </c>
      <c r="E919" s="12" t="s">
        <v>3554</v>
      </c>
      <c r="F919" s="16">
        <v>495000</v>
      </c>
    </row>
    <row r="920" spans="1:6" x14ac:dyDescent="0.2">
      <c r="A920" s="8" t="s">
        <v>1659</v>
      </c>
      <c r="B920" s="9">
        <v>26806181256</v>
      </c>
      <c r="C920" s="10">
        <f ca="1">TODAY()-1123</f>
        <v>43098</v>
      </c>
      <c r="D920" s="10" t="s">
        <v>2303</v>
      </c>
      <c r="E920" s="12" t="s">
        <v>3411</v>
      </c>
      <c r="F920" s="16">
        <v>370000</v>
      </c>
    </row>
    <row r="921" spans="1:6" x14ac:dyDescent="0.2">
      <c r="A921" s="8" t="s">
        <v>2098</v>
      </c>
      <c r="B921" s="9">
        <v>28502113121</v>
      </c>
      <c r="C921" s="10">
        <f ca="1">TODAY()-3607</f>
        <v>40614</v>
      </c>
      <c r="D921" s="10" t="s">
        <v>2303</v>
      </c>
      <c r="E921" s="12" t="s">
        <v>3411</v>
      </c>
      <c r="F921" s="16">
        <v>445000</v>
      </c>
    </row>
    <row r="922" spans="1:6" x14ac:dyDescent="0.2">
      <c r="A922" s="8" t="s">
        <v>439</v>
      </c>
      <c r="B922" s="9">
        <v>27702196732</v>
      </c>
      <c r="C922" s="10">
        <f ca="1">TODAY()-1620</f>
        <v>42601</v>
      </c>
      <c r="D922" s="10" t="s">
        <v>2284</v>
      </c>
      <c r="E922" s="12" t="s">
        <v>3451</v>
      </c>
      <c r="F922" s="16">
        <v>305000</v>
      </c>
    </row>
    <row r="923" spans="1:6" x14ac:dyDescent="0.2">
      <c r="A923" s="8" t="s">
        <v>440</v>
      </c>
      <c r="B923" s="9">
        <v>16301054020</v>
      </c>
      <c r="C923" s="10">
        <f ca="1">TODAY()-4578</f>
        <v>39643</v>
      </c>
      <c r="D923" s="10" t="s">
        <v>2294</v>
      </c>
      <c r="E923" s="12" t="s">
        <v>3522</v>
      </c>
      <c r="F923" s="16">
        <v>280000</v>
      </c>
    </row>
    <row r="924" spans="1:6" x14ac:dyDescent="0.2">
      <c r="A924" s="8" t="s">
        <v>1728</v>
      </c>
      <c r="B924" s="9">
        <v>16011132219</v>
      </c>
      <c r="C924" s="10">
        <f ca="1">TODAY()-141</f>
        <v>44080</v>
      </c>
      <c r="D924" s="10" t="s">
        <v>2294</v>
      </c>
      <c r="E924" s="12" t="s">
        <v>3429</v>
      </c>
      <c r="F924" s="16">
        <v>285000</v>
      </c>
    </row>
    <row r="925" spans="1:6" x14ac:dyDescent="0.2">
      <c r="A925" s="8" t="s">
        <v>1535</v>
      </c>
      <c r="B925" s="9">
        <v>28404208007</v>
      </c>
      <c r="C925" s="10">
        <f ca="1">TODAY()-3513</f>
        <v>40708</v>
      </c>
      <c r="D925" s="10" t="s">
        <v>2296</v>
      </c>
      <c r="E925" s="12" t="s">
        <v>3562</v>
      </c>
      <c r="F925" s="16">
        <v>215000</v>
      </c>
    </row>
    <row r="926" spans="1:6" x14ac:dyDescent="0.2">
      <c r="A926" s="8" t="s">
        <v>750</v>
      </c>
      <c r="B926" s="9">
        <v>16508261704</v>
      </c>
      <c r="C926" s="10">
        <f ca="1">TODAY()-1204</f>
        <v>43017</v>
      </c>
      <c r="D926" s="10" t="s">
        <v>2302</v>
      </c>
      <c r="E926" s="12" t="s">
        <v>3430</v>
      </c>
      <c r="F926" s="16">
        <v>275000</v>
      </c>
    </row>
    <row r="927" spans="1:6" x14ac:dyDescent="0.2">
      <c r="A927" s="8" t="s">
        <v>533</v>
      </c>
      <c r="B927" s="9">
        <v>16505102917</v>
      </c>
      <c r="C927" s="10">
        <f ca="1">TODAY()-3792</f>
        <v>40429</v>
      </c>
      <c r="D927" s="10" t="s">
        <v>2288</v>
      </c>
      <c r="E927" s="12" t="s">
        <v>3444</v>
      </c>
      <c r="F927" s="16">
        <v>375000</v>
      </c>
    </row>
    <row r="928" spans="1:6" x14ac:dyDescent="0.2">
      <c r="A928" s="8" t="s">
        <v>1975</v>
      </c>
      <c r="B928" s="9">
        <v>18206107675</v>
      </c>
      <c r="C928" s="10">
        <f ca="1">TODAY()-719</f>
        <v>43502</v>
      </c>
      <c r="D928" s="10" t="s">
        <v>2286</v>
      </c>
      <c r="E928" s="12" t="s">
        <v>3533</v>
      </c>
      <c r="F928" s="16">
        <v>410000</v>
      </c>
    </row>
    <row r="929" spans="1:6" x14ac:dyDescent="0.2">
      <c r="A929" s="8" t="s">
        <v>1872</v>
      </c>
      <c r="B929" s="9">
        <v>16011059121</v>
      </c>
      <c r="C929" s="10">
        <f ca="1">TODAY()-794</f>
        <v>43427</v>
      </c>
      <c r="D929" s="10" t="s">
        <v>3397</v>
      </c>
      <c r="E929" s="12" t="s">
        <v>3550</v>
      </c>
      <c r="F929" s="16">
        <v>305000</v>
      </c>
    </row>
    <row r="930" spans="1:6" x14ac:dyDescent="0.2">
      <c r="A930" s="8" t="s">
        <v>622</v>
      </c>
      <c r="B930" s="9">
        <v>18405068387</v>
      </c>
      <c r="C930" s="10">
        <f ca="1">TODAY()-3672</f>
        <v>40549</v>
      </c>
      <c r="D930" s="10" t="s">
        <v>3393</v>
      </c>
      <c r="E930" s="12" t="s">
        <v>3542</v>
      </c>
      <c r="F930" s="16">
        <v>315000</v>
      </c>
    </row>
    <row r="931" spans="1:6" x14ac:dyDescent="0.2">
      <c r="A931" s="8" t="s">
        <v>1126</v>
      </c>
      <c r="B931" s="9">
        <v>17502108091</v>
      </c>
      <c r="C931" s="10">
        <f ca="1">TODAY()-148</f>
        <v>44073</v>
      </c>
      <c r="D931" s="10" t="s">
        <v>3394</v>
      </c>
      <c r="E931" s="12" t="s">
        <v>3438</v>
      </c>
      <c r="F931" s="16">
        <v>355000</v>
      </c>
    </row>
    <row r="932" spans="1:6" x14ac:dyDescent="0.2">
      <c r="A932" s="8" t="s">
        <v>2002</v>
      </c>
      <c r="B932" s="9">
        <v>19012169543</v>
      </c>
      <c r="C932" s="10">
        <f ca="1">TODAY()-1779</f>
        <v>42442</v>
      </c>
      <c r="D932" s="10" t="s">
        <v>2304</v>
      </c>
      <c r="E932" s="12" t="s">
        <v>3549</v>
      </c>
      <c r="F932" s="16">
        <v>350000</v>
      </c>
    </row>
    <row r="933" spans="1:6" x14ac:dyDescent="0.2">
      <c r="A933" s="8" t="s">
        <v>1493</v>
      </c>
      <c r="B933" s="9">
        <v>28011255986</v>
      </c>
      <c r="C933" s="10">
        <f ca="1">TODAY()-3887</f>
        <v>40334</v>
      </c>
      <c r="D933" s="10" t="s">
        <v>3402</v>
      </c>
      <c r="E933" s="12" t="s">
        <v>3435</v>
      </c>
      <c r="F933" s="16">
        <v>315000</v>
      </c>
    </row>
    <row r="934" spans="1:6" x14ac:dyDescent="0.2">
      <c r="A934" s="8" t="s">
        <v>2264</v>
      </c>
      <c r="B934" s="9">
        <v>28404114341</v>
      </c>
      <c r="C934" s="10">
        <f ca="1">TODAY()-4378</f>
        <v>39843</v>
      </c>
      <c r="D934" s="10" t="s">
        <v>2284</v>
      </c>
      <c r="E934" s="12" t="s">
        <v>3442</v>
      </c>
      <c r="F934" s="16">
        <v>365000</v>
      </c>
    </row>
    <row r="935" spans="1:6" x14ac:dyDescent="0.2">
      <c r="A935" s="8" t="s">
        <v>1565</v>
      </c>
      <c r="B935" s="9">
        <v>18406099151</v>
      </c>
      <c r="C935" s="10">
        <f ca="1">TODAY()-3696</f>
        <v>40525</v>
      </c>
      <c r="D935" s="10" t="s">
        <v>2302</v>
      </c>
      <c r="E935" s="12" t="s">
        <v>3420</v>
      </c>
      <c r="F935" s="16">
        <v>390000</v>
      </c>
    </row>
    <row r="936" spans="1:6" x14ac:dyDescent="0.2">
      <c r="A936" s="8" t="s">
        <v>1724</v>
      </c>
      <c r="B936" s="9">
        <v>28207179187</v>
      </c>
      <c r="C936" s="10">
        <f ca="1">TODAY()-1916</f>
        <v>42305</v>
      </c>
      <c r="D936" s="10" t="s">
        <v>3381</v>
      </c>
      <c r="E936" s="12" t="s">
        <v>3381</v>
      </c>
      <c r="F936" s="16">
        <v>440000</v>
      </c>
    </row>
    <row r="937" spans="1:6" x14ac:dyDescent="0.2">
      <c r="A937" s="8" t="s">
        <v>940</v>
      </c>
      <c r="B937" s="9">
        <v>17201255339</v>
      </c>
      <c r="C937" s="10">
        <f ca="1">TODAY()-447</f>
        <v>43774</v>
      </c>
      <c r="D937" s="10" t="s">
        <v>2294</v>
      </c>
      <c r="E937" s="12" t="s">
        <v>3459</v>
      </c>
      <c r="F937" s="16">
        <v>235000</v>
      </c>
    </row>
    <row r="938" spans="1:6" x14ac:dyDescent="0.2">
      <c r="A938" s="8" t="s">
        <v>1579</v>
      </c>
      <c r="B938" s="9">
        <v>28604068643</v>
      </c>
      <c r="C938" s="10">
        <f ca="1">TODAY()-1233</f>
        <v>42988</v>
      </c>
      <c r="D938" s="10" t="s">
        <v>3385</v>
      </c>
      <c r="E938" s="12" t="s">
        <v>3449</v>
      </c>
      <c r="F938" s="16">
        <v>490000</v>
      </c>
    </row>
    <row r="939" spans="1:6" x14ac:dyDescent="0.2">
      <c r="A939" s="8" t="s">
        <v>1153</v>
      </c>
      <c r="B939" s="9">
        <v>18706096512</v>
      </c>
      <c r="C939" s="10">
        <f ca="1">TODAY()-3137</f>
        <v>41084</v>
      </c>
      <c r="D939" s="10" t="s">
        <v>3393</v>
      </c>
      <c r="E939" s="12" t="s">
        <v>3547</v>
      </c>
      <c r="F939" s="16">
        <v>345000</v>
      </c>
    </row>
    <row r="940" spans="1:6" x14ac:dyDescent="0.2">
      <c r="A940" s="8" t="s">
        <v>2260</v>
      </c>
      <c r="B940" s="9">
        <v>16107046181</v>
      </c>
      <c r="C940" s="10">
        <f ca="1">TODAY()-4625</f>
        <v>39596</v>
      </c>
      <c r="D940" s="10" t="s">
        <v>2298</v>
      </c>
      <c r="E940" s="12" t="s">
        <v>3447</v>
      </c>
      <c r="F940" s="16">
        <v>200000</v>
      </c>
    </row>
    <row r="941" spans="1:6" x14ac:dyDescent="0.2">
      <c r="A941" s="8" t="s">
        <v>1522</v>
      </c>
      <c r="B941" s="9">
        <v>18806252076</v>
      </c>
      <c r="C941" s="10">
        <f ca="1">TODAY()-3130</f>
        <v>41091</v>
      </c>
      <c r="D941" s="10" t="s">
        <v>3383</v>
      </c>
      <c r="E941" s="12" t="s">
        <v>3383</v>
      </c>
      <c r="F941" s="16">
        <v>245000</v>
      </c>
    </row>
    <row r="942" spans="1:6" x14ac:dyDescent="0.2">
      <c r="A942" s="8" t="s">
        <v>495</v>
      </c>
      <c r="B942" s="9">
        <v>27102184034</v>
      </c>
      <c r="C942" s="10">
        <f ca="1">TODAY()-2196</f>
        <v>42025</v>
      </c>
      <c r="D942" s="10" t="s">
        <v>3389</v>
      </c>
      <c r="E942" s="12" t="s">
        <v>3491</v>
      </c>
      <c r="F942" s="16">
        <v>480000</v>
      </c>
    </row>
    <row r="943" spans="1:6" x14ac:dyDescent="0.2">
      <c r="A943" s="8" t="s">
        <v>2035</v>
      </c>
      <c r="B943" s="9">
        <v>18802062111</v>
      </c>
      <c r="C943" s="10">
        <f ca="1">TODAY()-889</f>
        <v>43332</v>
      </c>
      <c r="D943" s="10" t="s">
        <v>3378</v>
      </c>
      <c r="E943" s="12" t="s">
        <v>3502</v>
      </c>
      <c r="F943" s="16">
        <v>485000</v>
      </c>
    </row>
    <row r="944" spans="1:6" x14ac:dyDescent="0.2">
      <c r="A944" s="8" t="s">
        <v>2056</v>
      </c>
      <c r="B944" s="9">
        <v>26108121928</v>
      </c>
      <c r="C944" s="10">
        <f ca="1">TODAY()-2986</f>
        <v>41235</v>
      </c>
      <c r="D944" s="10" t="s">
        <v>3401</v>
      </c>
      <c r="E944" s="12" t="s">
        <v>3564</v>
      </c>
      <c r="F944" s="16">
        <v>245000</v>
      </c>
    </row>
    <row r="945" spans="1:6" x14ac:dyDescent="0.2">
      <c r="A945" s="8" t="s">
        <v>691</v>
      </c>
      <c r="B945" s="9">
        <v>16004065548</v>
      </c>
      <c r="C945" s="10">
        <f ca="1">TODAY()-4795</f>
        <v>39426</v>
      </c>
      <c r="D945" s="10" t="s">
        <v>3383</v>
      </c>
      <c r="E945" s="12" t="s">
        <v>3458</v>
      </c>
      <c r="F945" s="16">
        <v>255000</v>
      </c>
    </row>
    <row r="946" spans="1:6" x14ac:dyDescent="0.2">
      <c r="A946" s="8" t="s">
        <v>355</v>
      </c>
      <c r="B946" s="9">
        <v>27812183892</v>
      </c>
      <c r="C946" s="10">
        <f ca="1">TODAY()-2741</f>
        <v>41480</v>
      </c>
      <c r="D946" s="10" t="s">
        <v>3378</v>
      </c>
      <c r="E946" s="12" t="s">
        <v>3542</v>
      </c>
      <c r="F946" s="16">
        <v>315000</v>
      </c>
    </row>
    <row r="947" spans="1:6" x14ac:dyDescent="0.2">
      <c r="A947" s="8" t="s">
        <v>479</v>
      </c>
      <c r="B947" s="9">
        <v>16903121647</v>
      </c>
      <c r="C947" s="10">
        <f ca="1">TODAY()-2182</f>
        <v>42039</v>
      </c>
      <c r="D947" s="10" t="s">
        <v>3383</v>
      </c>
      <c r="E947" s="12" t="s">
        <v>3509</v>
      </c>
      <c r="F947" s="16">
        <v>305000</v>
      </c>
    </row>
    <row r="948" spans="1:6" x14ac:dyDescent="0.2">
      <c r="A948" s="8" t="s">
        <v>619</v>
      </c>
      <c r="B948" s="9">
        <v>17708118831</v>
      </c>
      <c r="C948" s="10">
        <f ca="1">TODAY()-2941</f>
        <v>41280</v>
      </c>
      <c r="D948" s="10" t="s">
        <v>2302</v>
      </c>
      <c r="E948" s="12" t="s">
        <v>3407</v>
      </c>
      <c r="F948" s="16">
        <v>450000</v>
      </c>
    </row>
    <row r="949" spans="1:6" x14ac:dyDescent="0.2">
      <c r="A949" s="8" t="s">
        <v>2177</v>
      </c>
      <c r="B949" s="9">
        <v>17708172000</v>
      </c>
      <c r="C949" s="10">
        <f ca="1">TODAY()-4725</f>
        <v>39496</v>
      </c>
      <c r="D949" s="10" t="s">
        <v>3387</v>
      </c>
      <c r="E949" s="12" t="s">
        <v>3475</v>
      </c>
      <c r="F949" s="16">
        <v>190000</v>
      </c>
    </row>
    <row r="950" spans="1:6" x14ac:dyDescent="0.2">
      <c r="A950" s="8" t="s">
        <v>2174</v>
      </c>
      <c r="B950" s="9">
        <v>17902213599</v>
      </c>
      <c r="C950" s="10">
        <f ca="1">TODAY()-4210</f>
        <v>40011</v>
      </c>
      <c r="D950" s="10" t="s">
        <v>3382</v>
      </c>
      <c r="E950" s="12" t="s">
        <v>3559</v>
      </c>
      <c r="F950" s="16">
        <v>185000</v>
      </c>
    </row>
    <row r="951" spans="1:6" x14ac:dyDescent="0.2">
      <c r="A951" s="8" t="s">
        <v>2126</v>
      </c>
      <c r="B951" s="9">
        <v>18504064466</v>
      </c>
      <c r="C951" s="10">
        <f ca="1">TODAY()-939</f>
        <v>43282</v>
      </c>
      <c r="D951" s="10" t="s">
        <v>3398</v>
      </c>
      <c r="E951" s="12" t="s">
        <v>3398</v>
      </c>
      <c r="F951" s="16">
        <v>275000</v>
      </c>
    </row>
    <row r="952" spans="1:6" x14ac:dyDescent="0.2">
      <c r="A952" s="8" t="s">
        <v>874</v>
      </c>
      <c r="B952" s="9">
        <v>16411155389</v>
      </c>
      <c r="C952" s="10">
        <f ca="1">TODAY()-3553</f>
        <v>40668</v>
      </c>
      <c r="D952" s="10" t="s">
        <v>2300</v>
      </c>
      <c r="E952" s="12" t="s">
        <v>2300</v>
      </c>
      <c r="F952" s="16">
        <v>310000</v>
      </c>
    </row>
    <row r="953" spans="1:6" x14ac:dyDescent="0.2">
      <c r="A953" s="8" t="s">
        <v>543</v>
      </c>
      <c r="B953" s="9">
        <v>27809029088</v>
      </c>
      <c r="C953" s="10">
        <f ca="1">TODAY()-4653</f>
        <v>39568</v>
      </c>
      <c r="D953" s="10" t="s">
        <v>2301</v>
      </c>
      <c r="E953" s="12" t="s">
        <v>3448</v>
      </c>
      <c r="F953" s="16">
        <v>380000</v>
      </c>
    </row>
    <row r="954" spans="1:6" x14ac:dyDescent="0.2">
      <c r="A954" s="8" t="s">
        <v>2066</v>
      </c>
      <c r="B954" s="9">
        <v>27811014370</v>
      </c>
      <c r="C954" s="10">
        <f ca="1">TODAY()-4631</f>
        <v>39590</v>
      </c>
      <c r="D954" s="10" t="s">
        <v>2291</v>
      </c>
      <c r="E954" s="12" t="s">
        <v>3535</v>
      </c>
      <c r="F954" s="16">
        <v>215000</v>
      </c>
    </row>
    <row r="955" spans="1:6" x14ac:dyDescent="0.2">
      <c r="A955" s="8" t="s">
        <v>1209</v>
      </c>
      <c r="B955" s="9">
        <v>16205175227</v>
      </c>
      <c r="C955" s="10">
        <f ca="1">TODAY()-145</f>
        <v>44076</v>
      </c>
      <c r="D955" s="10" t="s">
        <v>3397</v>
      </c>
      <c r="E955" s="12" t="s">
        <v>3423</v>
      </c>
      <c r="F955" s="16">
        <v>270000</v>
      </c>
    </row>
    <row r="956" spans="1:6" x14ac:dyDescent="0.2">
      <c r="A956" s="8" t="s">
        <v>1939</v>
      </c>
      <c r="B956" s="9">
        <v>26505216159</v>
      </c>
      <c r="C956" s="10">
        <f ca="1">TODAY()-1299</f>
        <v>42922</v>
      </c>
      <c r="D956" s="10" t="s">
        <v>2292</v>
      </c>
      <c r="E956" s="12" t="s">
        <v>3503</v>
      </c>
      <c r="F956" s="16">
        <v>255000</v>
      </c>
    </row>
    <row r="957" spans="1:6" x14ac:dyDescent="0.2">
      <c r="A957" s="8" t="s">
        <v>2277</v>
      </c>
      <c r="B957" s="9">
        <v>27407253863</v>
      </c>
      <c r="C957" s="10">
        <f ca="1">TODAY()-4657</f>
        <v>39564</v>
      </c>
      <c r="D957" s="10" t="s">
        <v>3383</v>
      </c>
      <c r="E957" s="12" t="s">
        <v>3420</v>
      </c>
      <c r="F957" s="16">
        <v>455000</v>
      </c>
    </row>
    <row r="958" spans="1:6" x14ac:dyDescent="0.2">
      <c r="A958" s="8" t="s">
        <v>1117</v>
      </c>
      <c r="B958" s="9">
        <v>18701237518</v>
      </c>
      <c r="C958" s="10">
        <f ca="1">TODAY()-2142</f>
        <v>42079</v>
      </c>
      <c r="D958" s="10" t="s">
        <v>3394</v>
      </c>
      <c r="E958" s="12" t="s">
        <v>3498</v>
      </c>
      <c r="F958" s="16">
        <v>245000</v>
      </c>
    </row>
    <row r="959" spans="1:6" x14ac:dyDescent="0.2">
      <c r="A959" s="8" t="s">
        <v>812</v>
      </c>
      <c r="B959" s="9">
        <v>17506023813</v>
      </c>
      <c r="C959" s="10">
        <f ca="1">TODAY()-2124</f>
        <v>42097</v>
      </c>
      <c r="D959" s="10" t="s">
        <v>3384</v>
      </c>
      <c r="E959" s="12" t="s">
        <v>3459</v>
      </c>
      <c r="F959" s="16">
        <v>215000</v>
      </c>
    </row>
    <row r="960" spans="1:6" x14ac:dyDescent="0.2">
      <c r="A960" s="8" t="s">
        <v>598</v>
      </c>
      <c r="B960" s="9">
        <v>17609022383</v>
      </c>
      <c r="C960" s="10">
        <f ca="1">TODAY()-4419</f>
        <v>39802</v>
      </c>
      <c r="D960" s="10" t="s">
        <v>2289</v>
      </c>
      <c r="E960" s="12" t="s">
        <v>3430</v>
      </c>
      <c r="F960" s="16">
        <v>265000</v>
      </c>
    </row>
    <row r="961" spans="1:6" x14ac:dyDescent="0.2">
      <c r="A961" s="8" t="s">
        <v>756</v>
      </c>
      <c r="B961" s="9">
        <v>17708096635</v>
      </c>
      <c r="C961" s="10">
        <f ca="1">TODAY()-4680</f>
        <v>39541</v>
      </c>
      <c r="D961" s="10" t="s">
        <v>3392</v>
      </c>
      <c r="E961" s="12" t="s">
        <v>3548</v>
      </c>
      <c r="F961" s="16">
        <v>330000</v>
      </c>
    </row>
    <row r="962" spans="1:6" x14ac:dyDescent="0.2">
      <c r="A962" s="8" t="s">
        <v>1170</v>
      </c>
      <c r="B962" s="9">
        <v>17304228341</v>
      </c>
      <c r="C962" s="10">
        <f ca="1">TODAY()-2728</f>
        <v>41493</v>
      </c>
      <c r="D962" s="10" t="s">
        <v>2304</v>
      </c>
      <c r="E962" s="12" t="s">
        <v>3525</v>
      </c>
      <c r="F962" s="16">
        <v>470000</v>
      </c>
    </row>
    <row r="963" spans="1:6" x14ac:dyDescent="0.2">
      <c r="A963" s="8" t="s">
        <v>865</v>
      </c>
      <c r="B963" s="9">
        <v>26903064325</v>
      </c>
      <c r="C963" s="10">
        <f ca="1">TODAY()-1689</f>
        <v>42532</v>
      </c>
      <c r="D963" s="10" t="s">
        <v>2284</v>
      </c>
      <c r="E963" s="12" t="s">
        <v>3442</v>
      </c>
      <c r="F963" s="16">
        <v>270000</v>
      </c>
    </row>
    <row r="964" spans="1:6" x14ac:dyDescent="0.2">
      <c r="A964" s="8" t="s">
        <v>1246</v>
      </c>
      <c r="B964" s="9">
        <v>26202051704</v>
      </c>
      <c r="C964" s="10">
        <f ca="1">TODAY()-851</f>
        <v>43370</v>
      </c>
      <c r="D964" s="10" t="s">
        <v>3396</v>
      </c>
      <c r="E964" s="12" t="s">
        <v>3497</v>
      </c>
      <c r="F964" s="16">
        <v>495000</v>
      </c>
    </row>
    <row r="965" spans="1:6" x14ac:dyDescent="0.2">
      <c r="A965" s="8" t="s">
        <v>1391</v>
      </c>
      <c r="B965" s="9">
        <v>27402081986</v>
      </c>
      <c r="C965" s="10">
        <f ca="1">TODAY()-890</f>
        <v>43331</v>
      </c>
      <c r="D965" s="10" t="s">
        <v>2298</v>
      </c>
      <c r="E965" s="12" t="s">
        <v>2298</v>
      </c>
      <c r="F965" s="16">
        <v>360000</v>
      </c>
    </row>
    <row r="966" spans="1:6" x14ac:dyDescent="0.2">
      <c r="A966" s="8" t="s">
        <v>1529</v>
      </c>
      <c r="B966" s="9">
        <v>17611272841</v>
      </c>
      <c r="C966" s="10">
        <f ca="1">TODAY()-1900</f>
        <v>42321</v>
      </c>
      <c r="D966" s="10" t="s">
        <v>2287</v>
      </c>
      <c r="E966" s="12" t="s">
        <v>3446</v>
      </c>
      <c r="F966" s="16">
        <v>375000</v>
      </c>
    </row>
    <row r="967" spans="1:6" x14ac:dyDescent="0.2">
      <c r="A967" s="8" t="s">
        <v>1446</v>
      </c>
      <c r="B967" s="9">
        <v>27610261497</v>
      </c>
      <c r="C967" s="10">
        <f ca="1">TODAY()-2518</f>
        <v>41703</v>
      </c>
      <c r="D967" s="10" t="s">
        <v>3395</v>
      </c>
      <c r="E967" s="12" t="s">
        <v>3429</v>
      </c>
      <c r="F967" s="16">
        <v>320000</v>
      </c>
    </row>
    <row r="968" spans="1:6" x14ac:dyDescent="0.2">
      <c r="A968" s="8" t="s">
        <v>485</v>
      </c>
      <c r="B968" s="9">
        <v>18405255415</v>
      </c>
      <c r="C968" s="10">
        <f ca="1">TODAY()-2482</f>
        <v>41739</v>
      </c>
      <c r="D968" s="10" t="s">
        <v>3396</v>
      </c>
      <c r="E968" s="12" t="s">
        <v>3488</v>
      </c>
      <c r="F968" s="16">
        <v>230000</v>
      </c>
    </row>
    <row r="969" spans="1:6" x14ac:dyDescent="0.2">
      <c r="A969" s="8" t="s">
        <v>1228</v>
      </c>
      <c r="B969" s="9">
        <v>27305096460</v>
      </c>
      <c r="C969" s="10">
        <f ca="1">TODAY()-2077</f>
        <v>42144</v>
      </c>
      <c r="D969" s="10" t="s">
        <v>3385</v>
      </c>
      <c r="E969" s="12" t="s">
        <v>3448</v>
      </c>
      <c r="F969" s="16">
        <v>355000</v>
      </c>
    </row>
    <row r="970" spans="1:6" x14ac:dyDescent="0.2">
      <c r="A970" s="8" t="s">
        <v>1345</v>
      </c>
      <c r="B970" s="9">
        <v>17201165680</v>
      </c>
      <c r="C970" s="10">
        <f ca="1">TODAY()-4706</f>
        <v>39515</v>
      </c>
      <c r="D970" s="10" t="s">
        <v>3382</v>
      </c>
      <c r="E970" s="12" t="s">
        <v>3438</v>
      </c>
      <c r="F970" s="16">
        <v>260000</v>
      </c>
    </row>
    <row r="971" spans="1:6" x14ac:dyDescent="0.2">
      <c r="A971" s="8" t="s">
        <v>727</v>
      </c>
      <c r="B971" s="9">
        <v>26405012972</v>
      </c>
      <c r="C971" s="10">
        <f ca="1">TODAY()-4523</f>
        <v>39698</v>
      </c>
      <c r="D971" s="10" t="s">
        <v>3391</v>
      </c>
      <c r="E971" s="12" t="s">
        <v>3406</v>
      </c>
      <c r="F971" s="16">
        <v>465000</v>
      </c>
    </row>
    <row r="972" spans="1:6" x14ac:dyDescent="0.2">
      <c r="A972" s="8" t="s">
        <v>1991</v>
      </c>
      <c r="B972" s="9">
        <v>29006213958</v>
      </c>
      <c r="C972" s="10">
        <f ca="1">TODAY()-1966</f>
        <v>42255</v>
      </c>
      <c r="D972" s="10" t="s">
        <v>2287</v>
      </c>
      <c r="E972" s="12" t="s">
        <v>2287</v>
      </c>
      <c r="F972" s="16">
        <v>175000</v>
      </c>
    </row>
    <row r="973" spans="1:6" x14ac:dyDescent="0.2">
      <c r="A973" s="8" t="s">
        <v>765</v>
      </c>
      <c r="B973" s="9">
        <v>18005266902</v>
      </c>
      <c r="C973" s="10">
        <f ca="1">TODAY()-1506</f>
        <v>42715</v>
      </c>
      <c r="D973" s="10" t="s">
        <v>3381</v>
      </c>
      <c r="E973" s="12" t="s">
        <v>3488</v>
      </c>
      <c r="F973" s="16">
        <v>235000</v>
      </c>
    </row>
    <row r="974" spans="1:6" x14ac:dyDescent="0.2">
      <c r="A974" s="8" t="s">
        <v>489</v>
      </c>
      <c r="B974" s="9">
        <v>17906031335</v>
      </c>
      <c r="C974" s="10">
        <f ca="1">TODAY()-447</f>
        <v>43774</v>
      </c>
      <c r="D974" s="10" t="s">
        <v>2296</v>
      </c>
      <c r="E974" s="12" t="s">
        <v>3440</v>
      </c>
      <c r="F974" s="16">
        <v>270000</v>
      </c>
    </row>
    <row r="975" spans="1:6" x14ac:dyDescent="0.2">
      <c r="A975" s="8" t="s">
        <v>1244</v>
      </c>
      <c r="B975" s="9">
        <v>16511037893</v>
      </c>
      <c r="C975" s="10">
        <f ca="1">TODAY()-4825</f>
        <v>39396</v>
      </c>
      <c r="D975" s="10" t="s">
        <v>2294</v>
      </c>
      <c r="E975" s="12" t="s">
        <v>3516</v>
      </c>
      <c r="F975" s="16">
        <v>405000</v>
      </c>
    </row>
    <row r="976" spans="1:6" x14ac:dyDescent="0.2">
      <c r="A976" s="8" t="s">
        <v>419</v>
      </c>
      <c r="B976" s="9">
        <v>27802232226</v>
      </c>
      <c r="C976" s="10">
        <f ca="1">TODAY()-1289</f>
        <v>42932</v>
      </c>
      <c r="D976" s="10" t="s">
        <v>2286</v>
      </c>
      <c r="E976" s="12" t="s">
        <v>3436</v>
      </c>
      <c r="F976" s="16">
        <v>270000</v>
      </c>
    </row>
    <row r="977" spans="1:6" x14ac:dyDescent="0.2">
      <c r="A977" s="8" t="s">
        <v>1979</v>
      </c>
      <c r="B977" s="9">
        <v>17012198611</v>
      </c>
      <c r="C977" s="10">
        <f ca="1">TODAY()-2859</f>
        <v>41362</v>
      </c>
      <c r="D977" s="10" t="s">
        <v>3381</v>
      </c>
      <c r="E977" s="12" t="s">
        <v>3541</v>
      </c>
      <c r="F977" s="16">
        <v>175000</v>
      </c>
    </row>
    <row r="978" spans="1:6" x14ac:dyDescent="0.2">
      <c r="A978" s="8" t="s">
        <v>893</v>
      </c>
      <c r="B978" s="9">
        <v>26708053335</v>
      </c>
      <c r="C978" s="10">
        <f ca="1">TODAY()-4408</f>
        <v>39813</v>
      </c>
      <c r="D978" s="10" t="s">
        <v>3384</v>
      </c>
      <c r="E978" s="12" t="s">
        <v>3473</v>
      </c>
      <c r="F978" s="16">
        <v>490000</v>
      </c>
    </row>
    <row r="979" spans="1:6" x14ac:dyDescent="0.2">
      <c r="A979" s="8" t="s">
        <v>634</v>
      </c>
      <c r="B979" s="9">
        <v>16704018031</v>
      </c>
      <c r="C979" s="10">
        <f ca="1">TODAY()-3698</f>
        <v>40523</v>
      </c>
      <c r="D979" s="10" t="s">
        <v>3380</v>
      </c>
      <c r="E979" s="12" t="s">
        <v>3557</v>
      </c>
      <c r="F979" s="16">
        <v>435000</v>
      </c>
    </row>
    <row r="980" spans="1:6" x14ac:dyDescent="0.2">
      <c r="A980" s="8" t="s">
        <v>1740</v>
      </c>
      <c r="B980" s="9">
        <v>18607036360</v>
      </c>
      <c r="C980" s="10">
        <f ca="1">TODAY()-4841</f>
        <v>39380</v>
      </c>
      <c r="D980" s="10" t="s">
        <v>2290</v>
      </c>
      <c r="E980" s="12" t="s">
        <v>3554</v>
      </c>
      <c r="F980" s="16">
        <v>300000</v>
      </c>
    </row>
    <row r="981" spans="1:6" x14ac:dyDescent="0.2">
      <c r="A981" s="8" t="s">
        <v>1252</v>
      </c>
      <c r="B981" s="9">
        <v>27801041925</v>
      </c>
      <c r="C981" s="10">
        <f ca="1">TODAY()-2437</f>
        <v>41784</v>
      </c>
      <c r="D981" s="10" t="s">
        <v>3386</v>
      </c>
      <c r="E981" s="12" t="s">
        <v>3435</v>
      </c>
      <c r="F981" s="16">
        <v>230000</v>
      </c>
    </row>
    <row r="982" spans="1:6" x14ac:dyDescent="0.2">
      <c r="A982" s="8" t="s">
        <v>548</v>
      </c>
      <c r="B982" s="9">
        <v>28804066882</v>
      </c>
      <c r="C982" s="10">
        <f ca="1">TODAY()-1757</f>
        <v>42464</v>
      </c>
      <c r="D982" s="10" t="s">
        <v>3398</v>
      </c>
      <c r="E982" s="12" t="s">
        <v>3445</v>
      </c>
      <c r="F982" s="16">
        <v>185000</v>
      </c>
    </row>
    <row r="983" spans="1:6" x14ac:dyDescent="0.2">
      <c r="A983" s="8" t="s">
        <v>1377</v>
      </c>
      <c r="B983" s="9">
        <v>27306212421</v>
      </c>
      <c r="C983" s="10">
        <f ca="1">TODAY()-956</f>
        <v>43265</v>
      </c>
      <c r="D983" s="10" t="s">
        <v>2287</v>
      </c>
      <c r="E983" s="12" t="s">
        <v>3500</v>
      </c>
      <c r="F983" s="16">
        <v>395000</v>
      </c>
    </row>
    <row r="984" spans="1:6" x14ac:dyDescent="0.2">
      <c r="A984" s="8" t="s">
        <v>1140</v>
      </c>
      <c r="B984" s="9">
        <v>27802039865</v>
      </c>
      <c r="C984" s="10">
        <f ca="1">TODAY()-2785</f>
        <v>41436</v>
      </c>
      <c r="D984" s="10" t="s">
        <v>2290</v>
      </c>
      <c r="E984" s="12" t="s">
        <v>3449</v>
      </c>
      <c r="F984" s="16">
        <v>380000</v>
      </c>
    </row>
    <row r="985" spans="1:6" x14ac:dyDescent="0.2">
      <c r="A985" s="8" t="s">
        <v>2191</v>
      </c>
      <c r="B985" s="9">
        <v>26703223461</v>
      </c>
      <c r="C985" s="10">
        <f ca="1">TODAY()-3687</f>
        <v>40534</v>
      </c>
      <c r="D985" s="10" t="s">
        <v>2296</v>
      </c>
      <c r="E985" s="12" t="s">
        <v>3547</v>
      </c>
      <c r="F985" s="16">
        <v>310000</v>
      </c>
    </row>
    <row r="986" spans="1:6" x14ac:dyDescent="0.2">
      <c r="A986" s="8" t="s">
        <v>1368</v>
      </c>
      <c r="B986" s="9">
        <v>16910216052</v>
      </c>
      <c r="C986" s="10">
        <f ca="1">TODAY()-1940</f>
        <v>42281</v>
      </c>
      <c r="D986" s="10" t="s">
        <v>2292</v>
      </c>
      <c r="E986" s="12" t="s">
        <v>3532</v>
      </c>
      <c r="F986" s="16">
        <v>375000</v>
      </c>
    </row>
    <row r="987" spans="1:6" x14ac:dyDescent="0.2">
      <c r="A987" s="8" t="s">
        <v>1502</v>
      </c>
      <c r="B987" s="9">
        <v>16801106469</v>
      </c>
      <c r="C987" s="10">
        <f ca="1">TODAY()-857</f>
        <v>43364</v>
      </c>
      <c r="D987" s="10" t="s">
        <v>2297</v>
      </c>
      <c r="E987" s="12" t="s">
        <v>2297</v>
      </c>
      <c r="F987" s="16">
        <v>500000</v>
      </c>
    </row>
    <row r="988" spans="1:6" x14ac:dyDescent="0.2">
      <c r="A988" s="8" t="s">
        <v>478</v>
      </c>
      <c r="B988" s="9">
        <v>16104109942</v>
      </c>
      <c r="C988" s="10">
        <f ca="1">TODAY()-3380</f>
        <v>40841</v>
      </c>
      <c r="D988" s="10" t="s">
        <v>3398</v>
      </c>
      <c r="E988" s="12" t="s">
        <v>3489</v>
      </c>
      <c r="F988" s="16">
        <v>460000</v>
      </c>
    </row>
    <row r="989" spans="1:6" x14ac:dyDescent="0.2">
      <c r="A989" s="8" t="s">
        <v>824</v>
      </c>
      <c r="B989" s="9">
        <v>17201082747</v>
      </c>
      <c r="C989" s="10">
        <f ca="1">TODAY()-3110</f>
        <v>41111</v>
      </c>
      <c r="D989" s="10" t="s">
        <v>2299</v>
      </c>
      <c r="E989" s="12" t="s">
        <v>3524</v>
      </c>
      <c r="F989" s="16">
        <v>240000</v>
      </c>
    </row>
    <row r="990" spans="1:6" x14ac:dyDescent="0.2">
      <c r="A990" s="8" t="s">
        <v>1703</v>
      </c>
      <c r="B990" s="9">
        <v>18407208740</v>
      </c>
      <c r="C990" s="10">
        <f ca="1">TODAY()-3009</f>
        <v>41212</v>
      </c>
      <c r="D990" s="10" t="s">
        <v>3399</v>
      </c>
      <c r="E990" s="12" t="s">
        <v>3413</v>
      </c>
      <c r="F990" s="16">
        <v>185000</v>
      </c>
    </row>
    <row r="991" spans="1:6" x14ac:dyDescent="0.2">
      <c r="A991" s="8" t="s">
        <v>1652</v>
      </c>
      <c r="B991" s="9">
        <v>26808079397</v>
      </c>
      <c r="C991" s="10">
        <f ca="1">TODAY()-486</f>
        <v>43735</v>
      </c>
      <c r="D991" s="10" t="s">
        <v>2302</v>
      </c>
      <c r="E991" s="12" t="s">
        <v>3491</v>
      </c>
      <c r="F991" s="16">
        <v>345000</v>
      </c>
    </row>
    <row r="992" spans="1:6" x14ac:dyDescent="0.2">
      <c r="A992" s="8" t="s">
        <v>1936</v>
      </c>
      <c r="B992" s="9">
        <v>27605264415</v>
      </c>
      <c r="C992" s="10">
        <f ca="1">TODAY()-4701</f>
        <v>39520</v>
      </c>
      <c r="D992" s="10" t="s">
        <v>2284</v>
      </c>
      <c r="E992" s="12" t="s">
        <v>3411</v>
      </c>
      <c r="F992" s="16">
        <v>240000</v>
      </c>
    </row>
    <row r="993" spans="1:6" x14ac:dyDescent="0.2">
      <c r="A993" s="8" t="s">
        <v>589</v>
      </c>
      <c r="B993" s="9">
        <v>18104055206</v>
      </c>
      <c r="C993" s="10">
        <f ca="1">TODAY()-156</f>
        <v>44065</v>
      </c>
      <c r="D993" s="10" t="s">
        <v>3396</v>
      </c>
      <c r="E993" s="12" t="s">
        <v>3426</v>
      </c>
      <c r="F993" s="16">
        <v>500000</v>
      </c>
    </row>
    <row r="994" spans="1:6" x14ac:dyDescent="0.2">
      <c r="A994" s="8" t="s">
        <v>577</v>
      </c>
      <c r="B994" s="9">
        <v>19012044335</v>
      </c>
      <c r="C994" s="10">
        <f ca="1">TODAY()-2363</f>
        <v>41858</v>
      </c>
      <c r="D994" s="10" t="s">
        <v>3388</v>
      </c>
      <c r="E994" s="12" t="s">
        <v>3540</v>
      </c>
      <c r="F994" s="16">
        <v>205000</v>
      </c>
    </row>
    <row r="995" spans="1:6" x14ac:dyDescent="0.2">
      <c r="A995" s="8" t="s">
        <v>2073</v>
      </c>
      <c r="B995" s="9">
        <v>27510243178</v>
      </c>
      <c r="C995" s="10">
        <f ca="1">TODAY()-2901</f>
        <v>41320</v>
      </c>
      <c r="D995" s="10" t="s">
        <v>3388</v>
      </c>
      <c r="E995" s="12" t="s">
        <v>3551</v>
      </c>
      <c r="F995" s="16">
        <v>245000</v>
      </c>
    </row>
    <row r="996" spans="1:6" x14ac:dyDescent="0.2">
      <c r="A996" s="8" t="s">
        <v>464</v>
      </c>
      <c r="B996" s="9">
        <v>26511221569</v>
      </c>
      <c r="C996" s="10">
        <f ca="1">TODAY()-4851</f>
        <v>39370</v>
      </c>
      <c r="D996" s="10" t="s">
        <v>3385</v>
      </c>
      <c r="E996" s="12" t="s">
        <v>3546</v>
      </c>
      <c r="F996" s="16">
        <v>265000</v>
      </c>
    </row>
    <row r="997" spans="1:6" x14ac:dyDescent="0.2">
      <c r="A997" s="8" t="s">
        <v>838</v>
      </c>
      <c r="B997" s="9">
        <v>16803222815</v>
      </c>
      <c r="C997" s="10">
        <f ca="1">TODAY()-3374</f>
        <v>40847</v>
      </c>
      <c r="D997" s="10" t="s">
        <v>3390</v>
      </c>
      <c r="E997" s="12" t="s">
        <v>3474</v>
      </c>
      <c r="F997" s="16">
        <v>415000</v>
      </c>
    </row>
    <row r="998" spans="1:6" x14ac:dyDescent="0.2">
      <c r="A998" s="8" t="s">
        <v>591</v>
      </c>
      <c r="B998" s="9">
        <v>19005169438</v>
      </c>
      <c r="C998" s="10">
        <f ca="1">TODAY()-2861</f>
        <v>41360</v>
      </c>
      <c r="D998" s="10" t="s">
        <v>3397</v>
      </c>
      <c r="E998" s="12" t="s">
        <v>3497</v>
      </c>
      <c r="F998" s="16">
        <v>370000</v>
      </c>
    </row>
    <row r="999" spans="1:6" x14ac:dyDescent="0.2">
      <c r="A999" s="8" t="s">
        <v>2015</v>
      </c>
      <c r="B999" s="9">
        <v>28108067249</v>
      </c>
      <c r="C999" s="10">
        <f ca="1">TODAY()-1593</f>
        <v>42628</v>
      </c>
      <c r="D999" s="10" t="s">
        <v>3378</v>
      </c>
      <c r="E999" s="12" t="s">
        <v>3435</v>
      </c>
      <c r="F999" s="16">
        <v>495000</v>
      </c>
    </row>
    <row r="1000" spans="1:6" x14ac:dyDescent="0.2">
      <c r="A1000" s="8" t="s">
        <v>629</v>
      </c>
      <c r="B1000" s="9">
        <v>27201128467</v>
      </c>
      <c r="C1000" s="10">
        <f ca="1">TODAY()-3362</f>
        <v>40859</v>
      </c>
      <c r="D1000" s="10" t="s">
        <v>3385</v>
      </c>
      <c r="E1000" s="12" t="s">
        <v>3385</v>
      </c>
      <c r="F1000" s="16">
        <v>410000</v>
      </c>
    </row>
    <row r="1001" spans="1:6" x14ac:dyDescent="0.2">
      <c r="A1001" s="8" t="s">
        <v>1647</v>
      </c>
      <c r="B1001" s="9">
        <v>18502102214</v>
      </c>
      <c r="C1001" s="10">
        <f ca="1">TODAY()-3264</f>
        <v>40957</v>
      </c>
      <c r="D1001" s="10" t="s">
        <v>3386</v>
      </c>
      <c r="E1001" s="12" t="s">
        <v>3526</v>
      </c>
      <c r="F1001" s="16">
        <v>425000</v>
      </c>
    </row>
    <row r="1002" spans="1:6" x14ac:dyDescent="0.2">
      <c r="A1002" s="8" t="s">
        <v>1871</v>
      </c>
      <c r="B1002" s="9">
        <v>17605169291</v>
      </c>
      <c r="C1002" s="10">
        <f ca="1">TODAY()-3346</f>
        <v>40875</v>
      </c>
      <c r="D1002" s="10" t="s">
        <v>3388</v>
      </c>
      <c r="E1002" s="12" t="s">
        <v>3483</v>
      </c>
      <c r="F1002" s="16">
        <v>420000</v>
      </c>
    </row>
    <row r="1003" spans="1:6" x14ac:dyDescent="0.2">
      <c r="A1003" s="8" t="s">
        <v>1134</v>
      </c>
      <c r="B1003" s="9">
        <v>27209096547</v>
      </c>
      <c r="C1003" s="10">
        <f ca="1">TODAY()-4552</f>
        <v>39669</v>
      </c>
      <c r="D1003" s="10" t="s">
        <v>2299</v>
      </c>
      <c r="E1003" s="12" t="s">
        <v>3412</v>
      </c>
      <c r="F1003" s="16">
        <v>375000</v>
      </c>
    </row>
    <row r="1004" spans="1:6" x14ac:dyDescent="0.2">
      <c r="A1004" s="8" t="s">
        <v>1027</v>
      </c>
      <c r="B1004" s="9">
        <v>18705268645</v>
      </c>
      <c r="C1004" s="10">
        <f ca="1">TODAY()-2450</f>
        <v>41771</v>
      </c>
      <c r="D1004" s="10" t="s">
        <v>2304</v>
      </c>
      <c r="E1004" s="12" t="s">
        <v>3512</v>
      </c>
      <c r="F1004" s="16">
        <v>395000</v>
      </c>
    </row>
    <row r="1005" spans="1:6" x14ac:dyDescent="0.2">
      <c r="A1005" s="8" t="s">
        <v>2262</v>
      </c>
      <c r="B1005" s="9">
        <v>16302107165</v>
      </c>
      <c r="C1005" s="10">
        <f ca="1">TODAY()-256</f>
        <v>43965</v>
      </c>
      <c r="D1005" s="10" t="s">
        <v>2288</v>
      </c>
      <c r="E1005" s="12" t="s">
        <v>3461</v>
      </c>
      <c r="F1005" s="16">
        <v>205000</v>
      </c>
    </row>
    <row r="1006" spans="1:6" x14ac:dyDescent="0.2">
      <c r="A1006" s="8" t="s">
        <v>1055</v>
      </c>
      <c r="B1006" s="9">
        <v>17904185325</v>
      </c>
      <c r="C1006" s="10">
        <f ca="1">TODAY()-355</f>
        <v>43866</v>
      </c>
      <c r="D1006" s="10" t="s">
        <v>3396</v>
      </c>
      <c r="E1006" s="12" t="s">
        <v>3481</v>
      </c>
      <c r="F1006" s="16">
        <v>240000</v>
      </c>
    </row>
    <row r="1007" spans="1:6" x14ac:dyDescent="0.2">
      <c r="A1007" s="8" t="s">
        <v>1653</v>
      </c>
      <c r="B1007" s="9">
        <v>17104274364</v>
      </c>
      <c r="C1007" s="10">
        <f ca="1">TODAY()-4425</f>
        <v>39796</v>
      </c>
      <c r="D1007" s="10" t="s">
        <v>2293</v>
      </c>
      <c r="E1007" s="12" t="s">
        <v>3416</v>
      </c>
      <c r="F1007" s="16">
        <v>295000</v>
      </c>
    </row>
    <row r="1008" spans="1:6" x14ac:dyDescent="0.2">
      <c r="A1008" s="8" t="s">
        <v>1888</v>
      </c>
      <c r="B1008" s="9">
        <v>17603042927</v>
      </c>
      <c r="C1008" s="10">
        <f ca="1">TODAY()-1010</f>
        <v>43211</v>
      </c>
      <c r="D1008" s="10" t="s">
        <v>2298</v>
      </c>
      <c r="E1008" s="12" t="s">
        <v>3453</v>
      </c>
      <c r="F1008" s="16">
        <v>460000</v>
      </c>
    </row>
    <row r="1009" spans="1:6" x14ac:dyDescent="0.2">
      <c r="A1009" s="8" t="s">
        <v>1016</v>
      </c>
      <c r="B1009" s="9">
        <v>18412143666</v>
      </c>
      <c r="C1009" s="10">
        <f ca="1">TODAY()-1355</f>
        <v>42866</v>
      </c>
      <c r="D1009" s="10" t="s">
        <v>2301</v>
      </c>
      <c r="E1009" s="12" t="s">
        <v>3429</v>
      </c>
      <c r="F1009" s="16">
        <v>290000</v>
      </c>
    </row>
    <row r="1010" spans="1:6" x14ac:dyDescent="0.2">
      <c r="A1010" s="8" t="s">
        <v>2246</v>
      </c>
      <c r="B1010" s="9">
        <v>18307171471</v>
      </c>
      <c r="C1010" s="10">
        <f ca="1">TODAY()-738</f>
        <v>43483</v>
      </c>
      <c r="D1010" s="10" t="s">
        <v>2284</v>
      </c>
      <c r="E1010" s="12" t="s">
        <v>3562</v>
      </c>
      <c r="F1010" s="16">
        <v>495000</v>
      </c>
    </row>
    <row r="1011" spans="1:6" x14ac:dyDescent="0.2">
      <c r="A1011" s="8" t="s">
        <v>1706</v>
      </c>
      <c r="B1011" s="9">
        <v>26910062162</v>
      </c>
      <c r="C1011" s="10">
        <f ca="1">TODAY()-4981</f>
        <v>39240</v>
      </c>
      <c r="D1011" s="10" t="s">
        <v>2291</v>
      </c>
      <c r="E1011" s="12" t="s">
        <v>3446</v>
      </c>
      <c r="F1011" s="16">
        <v>345000</v>
      </c>
    </row>
    <row r="1012" spans="1:6" x14ac:dyDescent="0.2">
      <c r="A1012" s="8" t="s">
        <v>2248</v>
      </c>
      <c r="B1012" s="9">
        <v>17707134573</v>
      </c>
      <c r="C1012" s="10">
        <f ca="1">TODAY()-62</f>
        <v>44159</v>
      </c>
      <c r="D1012" s="10" t="s">
        <v>3389</v>
      </c>
      <c r="E1012" s="12" t="s">
        <v>3439</v>
      </c>
      <c r="F1012" s="16">
        <v>390000</v>
      </c>
    </row>
    <row r="1013" spans="1:6" x14ac:dyDescent="0.2">
      <c r="A1013" s="8" t="s">
        <v>1160</v>
      </c>
      <c r="B1013" s="9">
        <v>28408022082</v>
      </c>
      <c r="C1013" s="10">
        <f ca="1">TODAY()-134</f>
        <v>44087</v>
      </c>
      <c r="D1013" s="10" t="s">
        <v>3390</v>
      </c>
      <c r="E1013" s="12" t="s">
        <v>3413</v>
      </c>
      <c r="F1013" s="16">
        <v>395000</v>
      </c>
    </row>
    <row r="1014" spans="1:6" x14ac:dyDescent="0.2">
      <c r="A1014" s="8" t="s">
        <v>1533</v>
      </c>
      <c r="B1014" s="9">
        <v>27601278516</v>
      </c>
      <c r="C1014" s="10">
        <f ca="1">TODAY()-2936</f>
        <v>41285</v>
      </c>
      <c r="D1014" s="10" t="s">
        <v>3388</v>
      </c>
      <c r="E1014" s="12" t="s">
        <v>3497</v>
      </c>
      <c r="F1014" s="16">
        <v>280000</v>
      </c>
    </row>
    <row r="1015" spans="1:6" x14ac:dyDescent="0.2">
      <c r="A1015" s="8" t="s">
        <v>839</v>
      </c>
      <c r="B1015" s="9">
        <v>28911046308</v>
      </c>
      <c r="C1015" s="10">
        <f ca="1">TODAY()-4878</f>
        <v>39343</v>
      </c>
      <c r="D1015" s="10" t="s">
        <v>3380</v>
      </c>
      <c r="E1015" s="12" t="s">
        <v>3380</v>
      </c>
      <c r="F1015" s="16">
        <v>230000</v>
      </c>
    </row>
    <row r="1016" spans="1:6" x14ac:dyDescent="0.2">
      <c r="A1016" s="8" t="s">
        <v>1731</v>
      </c>
      <c r="B1016" s="9">
        <v>16512206735</v>
      </c>
      <c r="C1016" s="10">
        <f ca="1">TODAY()-675</f>
        <v>43546</v>
      </c>
      <c r="D1016" s="10" t="s">
        <v>2285</v>
      </c>
      <c r="E1016" s="12" t="s">
        <v>3430</v>
      </c>
      <c r="F1016" s="16">
        <v>455000</v>
      </c>
    </row>
    <row r="1017" spans="1:6" x14ac:dyDescent="0.2">
      <c r="A1017" s="8" t="s">
        <v>758</v>
      </c>
      <c r="B1017" s="9">
        <v>16608166858</v>
      </c>
      <c r="C1017" s="10">
        <f ca="1">TODAY()-2349</f>
        <v>41872</v>
      </c>
      <c r="D1017" s="10" t="s">
        <v>2289</v>
      </c>
      <c r="E1017" s="12" t="s">
        <v>3459</v>
      </c>
      <c r="F1017" s="16">
        <v>390000</v>
      </c>
    </row>
    <row r="1018" spans="1:6" x14ac:dyDescent="0.2">
      <c r="A1018" s="8" t="s">
        <v>1339</v>
      </c>
      <c r="B1018" s="9">
        <v>27303111853</v>
      </c>
      <c r="C1018" s="10">
        <f ca="1">TODAY()-355</f>
        <v>43866</v>
      </c>
      <c r="D1018" s="10" t="s">
        <v>2290</v>
      </c>
      <c r="E1018" s="12" t="s">
        <v>3426</v>
      </c>
      <c r="F1018" s="16">
        <v>385000</v>
      </c>
    </row>
    <row r="1019" spans="1:6" x14ac:dyDescent="0.2">
      <c r="A1019" s="8" t="s">
        <v>1174</v>
      </c>
      <c r="B1019" s="9">
        <v>18104057719</v>
      </c>
      <c r="C1019" s="10">
        <f ca="1">TODAY()-1429</f>
        <v>42792</v>
      </c>
      <c r="D1019" s="10" t="s">
        <v>3389</v>
      </c>
      <c r="E1019" s="12" t="s">
        <v>3389</v>
      </c>
      <c r="F1019" s="16">
        <v>465000</v>
      </c>
    </row>
    <row r="1020" spans="1:6" x14ac:dyDescent="0.2">
      <c r="A1020" s="8" t="s">
        <v>2234</v>
      </c>
      <c r="B1020" s="9">
        <v>16907255016</v>
      </c>
      <c r="C1020" s="10">
        <f ca="1">TODAY()-3597</f>
        <v>40624</v>
      </c>
      <c r="D1020" s="10" t="s">
        <v>2304</v>
      </c>
      <c r="E1020" s="12" t="s">
        <v>3548</v>
      </c>
      <c r="F1020" s="16">
        <v>450000</v>
      </c>
    </row>
    <row r="1021" spans="1:6" x14ac:dyDescent="0.2">
      <c r="A1021" s="8" t="s">
        <v>731</v>
      </c>
      <c r="B1021" s="9">
        <v>28804127410</v>
      </c>
      <c r="C1021" s="10">
        <f ca="1">TODAY()-992</f>
        <v>43229</v>
      </c>
      <c r="D1021" s="10" t="s">
        <v>3401</v>
      </c>
      <c r="E1021" s="12" t="s">
        <v>3493</v>
      </c>
      <c r="F1021" s="16">
        <v>415000</v>
      </c>
    </row>
    <row r="1022" spans="1:6" x14ac:dyDescent="0.2">
      <c r="A1022" s="8" t="s">
        <v>642</v>
      </c>
      <c r="B1022" s="9">
        <v>17501109563</v>
      </c>
      <c r="C1022" s="10">
        <f ca="1">TODAY()-3631</f>
        <v>40590</v>
      </c>
      <c r="D1022" s="10" t="s">
        <v>2285</v>
      </c>
      <c r="E1022" s="12" t="s">
        <v>3544</v>
      </c>
      <c r="F1022" s="16">
        <v>240000</v>
      </c>
    </row>
    <row r="1023" spans="1:6" x14ac:dyDescent="0.2">
      <c r="A1023" s="8" t="s">
        <v>1098</v>
      </c>
      <c r="B1023" s="9">
        <v>16704165333</v>
      </c>
      <c r="C1023" s="10">
        <f ca="1">TODAY()-1788</f>
        <v>42433</v>
      </c>
      <c r="D1023" s="10" t="s">
        <v>3390</v>
      </c>
      <c r="E1023" s="12" t="s">
        <v>3504</v>
      </c>
      <c r="F1023" s="16">
        <v>240000</v>
      </c>
    </row>
    <row r="1024" spans="1:6" x14ac:dyDescent="0.2">
      <c r="A1024" s="8" t="s">
        <v>919</v>
      </c>
      <c r="B1024" s="9">
        <v>27705221532</v>
      </c>
      <c r="C1024" s="10">
        <f ca="1">TODAY()-4268</f>
        <v>39953</v>
      </c>
      <c r="D1024" s="10" t="s">
        <v>2290</v>
      </c>
      <c r="E1024" s="12" t="s">
        <v>3467</v>
      </c>
      <c r="F1024" s="16">
        <v>335000</v>
      </c>
    </row>
    <row r="1025" spans="1:6" x14ac:dyDescent="0.2">
      <c r="A1025" s="8" t="s">
        <v>676</v>
      </c>
      <c r="B1025" s="9">
        <v>17802131270</v>
      </c>
      <c r="C1025" s="10">
        <f ca="1">TODAY()-581</f>
        <v>43640</v>
      </c>
      <c r="D1025" s="10" t="s">
        <v>2300</v>
      </c>
      <c r="E1025" s="12" t="s">
        <v>3508</v>
      </c>
      <c r="F1025" s="16">
        <v>325000</v>
      </c>
    </row>
    <row r="1026" spans="1:6" x14ac:dyDescent="0.2">
      <c r="A1026" s="8" t="s">
        <v>1460</v>
      </c>
      <c r="B1026" s="9">
        <v>28802172153</v>
      </c>
      <c r="C1026" s="10">
        <f ca="1">TODAY()-4175</f>
        <v>40046</v>
      </c>
      <c r="D1026" s="10" t="s">
        <v>3385</v>
      </c>
      <c r="E1026" s="12" t="s">
        <v>3385</v>
      </c>
      <c r="F1026" s="16">
        <v>305000</v>
      </c>
    </row>
    <row r="1027" spans="1:6" x14ac:dyDescent="0.2">
      <c r="A1027" s="8" t="s">
        <v>793</v>
      </c>
      <c r="B1027" s="9">
        <v>16004082521</v>
      </c>
      <c r="C1027" s="10">
        <f ca="1">TODAY()-2957</f>
        <v>41264</v>
      </c>
      <c r="D1027" s="10" t="s">
        <v>2293</v>
      </c>
      <c r="E1027" s="12" t="s">
        <v>3465</v>
      </c>
      <c r="F1027" s="16">
        <v>270000</v>
      </c>
    </row>
    <row r="1028" spans="1:6" x14ac:dyDescent="0.2">
      <c r="A1028" s="8" t="s">
        <v>1301</v>
      </c>
      <c r="B1028" s="9">
        <v>26107125536</v>
      </c>
      <c r="C1028" s="10">
        <f ca="1">TODAY()-3731</f>
        <v>40490</v>
      </c>
      <c r="D1028" s="10" t="s">
        <v>3388</v>
      </c>
      <c r="E1028" s="12" t="s">
        <v>3458</v>
      </c>
      <c r="F1028" s="16">
        <v>195000</v>
      </c>
    </row>
    <row r="1029" spans="1:6" x14ac:dyDescent="0.2">
      <c r="A1029" s="8" t="s">
        <v>484</v>
      </c>
      <c r="B1029" s="9">
        <v>18507208728</v>
      </c>
      <c r="C1029" s="10">
        <f ca="1">TODAY()-2749</f>
        <v>41472</v>
      </c>
      <c r="D1029" s="10" t="s">
        <v>2288</v>
      </c>
      <c r="E1029" s="12" t="s">
        <v>2288</v>
      </c>
      <c r="F1029" s="16">
        <v>445000</v>
      </c>
    </row>
    <row r="1030" spans="1:6" x14ac:dyDescent="0.2">
      <c r="A1030" s="8" t="s">
        <v>497</v>
      </c>
      <c r="B1030" s="9">
        <v>17708015337</v>
      </c>
      <c r="C1030" s="10">
        <f ca="1">TODAY()-698</f>
        <v>43523</v>
      </c>
      <c r="D1030" s="10" t="s">
        <v>2294</v>
      </c>
      <c r="E1030" s="12" t="s">
        <v>3514</v>
      </c>
      <c r="F1030" s="16">
        <v>380000</v>
      </c>
    </row>
    <row r="1031" spans="1:6" x14ac:dyDescent="0.2">
      <c r="A1031" s="8" t="s">
        <v>1508</v>
      </c>
      <c r="B1031" s="9">
        <v>18804271581</v>
      </c>
      <c r="C1031" s="10">
        <f ca="1">TODAY()-2411</f>
        <v>41810</v>
      </c>
      <c r="D1031" s="10" t="s">
        <v>2299</v>
      </c>
      <c r="E1031" s="12" t="s">
        <v>3455</v>
      </c>
      <c r="F1031" s="16">
        <v>225000</v>
      </c>
    </row>
    <row r="1032" spans="1:6" x14ac:dyDescent="0.2">
      <c r="A1032" s="8" t="s">
        <v>1512</v>
      </c>
      <c r="B1032" s="9">
        <v>18005016267</v>
      </c>
      <c r="C1032" s="10">
        <f ca="1">TODAY()-4185</f>
        <v>40036</v>
      </c>
      <c r="D1032" s="10" t="s">
        <v>2292</v>
      </c>
      <c r="E1032" s="12" t="s">
        <v>2292</v>
      </c>
      <c r="F1032" s="16">
        <v>175000</v>
      </c>
    </row>
    <row r="1033" spans="1:6" x14ac:dyDescent="0.2">
      <c r="A1033" s="8" t="s">
        <v>1423</v>
      </c>
      <c r="B1033" s="9">
        <v>27802273256</v>
      </c>
      <c r="C1033" s="10">
        <f ca="1">TODAY()-3943</f>
        <v>40278</v>
      </c>
      <c r="D1033" s="10" t="s">
        <v>2293</v>
      </c>
      <c r="E1033" s="12" t="s">
        <v>3502</v>
      </c>
      <c r="F1033" s="16">
        <v>255000</v>
      </c>
    </row>
    <row r="1034" spans="1:6" x14ac:dyDescent="0.2">
      <c r="A1034" s="8" t="s">
        <v>1523</v>
      </c>
      <c r="B1034" s="9">
        <v>28412109150</v>
      </c>
      <c r="C1034" s="10">
        <f ca="1">TODAY()-343</f>
        <v>43878</v>
      </c>
      <c r="D1034" s="10" t="s">
        <v>2298</v>
      </c>
      <c r="E1034" s="12" t="s">
        <v>3523</v>
      </c>
      <c r="F1034" s="16">
        <v>250000</v>
      </c>
    </row>
    <row r="1035" spans="1:6" x14ac:dyDescent="0.2">
      <c r="A1035" s="8" t="s">
        <v>832</v>
      </c>
      <c r="B1035" s="9">
        <v>18508273131</v>
      </c>
      <c r="C1035" s="10">
        <f ca="1">TODAY()-715</f>
        <v>43506</v>
      </c>
      <c r="D1035" s="10" t="s">
        <v>3386</v>
      </c>
      <c r="E1035" s="12" t="s">
        <v>3386</v>
      </c>
      <c r="F1035" s="16">
        <v>320000</v>
      </c>
    </row>
    <row r="1036" spans="1:6" x14ac:dyDescent="0.2">
      <c r="A1036" s="8" t="s">
        <v>1475</v>
      </c>
      <c r="B1036" s="9">
        <v>16202275068</v>
      </c>
      <c r="C1036" s="10">
        <f ca="1">TODAY()-3542</f>
        <v>40679</v>
      </c>
      <c r="D1036" s="10" t="s">
        <v>3400</v>
      </c>
      <c r="E1036" s="12" t="s">
        <v>3457</v>
      </c>
      <c r="F1036" s="16">
        <v>395000</v>
      </c>
    </row>
    <row r="1037" spans="1:6" x14ac:dyDescent="0.2">
      <c r="A1037" s="8" t="s">
        <v>1113</v>
      </c>
      <c r="B1037" s="9">
        <v>26806192442</v>
      </c>
      <c r="C1037" s="10">
        <f ca="1">TODAY()-4786</f>
        <v>39435</v>
      </c>
      <c r="D1037" s="10" t="s">
        <v>3388</v>
      </c>
      <c r="E1037" s="12" t="s">
        <v>3453</v>
      </c>
      <c r="F1037" s="16">
        <v>365000</v>
      </c>
    </row>
    <row r="1038" spans="1:6" x14ac:dyDescent="0.2">
      <c r="A1038" s="8" t="s">
        <v>1100</v>
      </c>
      <c r="B1038" s="9">
        <v>16310284021</v>
      </c>
      <c r="C1038" s="10">
        <f ca="1">TODAY()-3142</f>
        <v>41079</v>
      </c>
      <c r="D1038" s="10" t="s">
        <v>3395</v>
      </c>
      <c r="E1038" s="12" t="s">
        <v>3416</v>
      </c>
      <c r="F1038" s="16">
        <v>375000</v>
      </c>
    </row>
    <row r="1039" spans="1:6" x14ac:dyDescent="0.2">
      <c r="A1039" s="8" t="s">
        <v>950</v>
      </c>
      <c r="B1039" s="9">
        <v>28704096378</v>
      </c>
      <c r="C1039" s="10">
        <f ca="1">TODAY()-932</f>
        <v>43289</v>
      </c>
      <c r="D1039" s="10" t="s">
        <v>3384</v>
      </c>
      <c r="E1039" s="12" t="s">
        <v>3433</v>
      </c>
      <c r="F1039" s="16">
        <v>270000</v>
      </c>
    </row>
    <row r="1040" spans="1:6" x14ac:dyDescent="0.2">
      <c r="A1040" s="8" t="s">
        <v>1023</v>
      </c>
      <c r="B1040" s="9">
        <v>18904249209</v>
      </c>
      <c r="C1040" s="10">
        <f ca="1">TODAY()-3955</f>
        <v>40266</v>
      </c>
      <c r="D1040" s="10" t="s">
        <v>2298</v>
      </c>
      <c r="E1040" s="12" t="s">
        <v>3418</v>
      </c>
      <c r="F1040" s="16">
        <v>185000</v>
      </c>
    </row>
    <row r="1041" spans="1:6" x14ac:dyDescent="0.2">
      <c r="A1041" s="8" t="s">
        <v>2109</v>
      </c>
      <c r="B1041" s="9">
        <v>26001221458</v>
      </c>
      <c r="C1041" s="10">
        <f ca="1">TODAY()-3511</f>
        <v>40710</v>
      </c>
      <c r="D1041" s="10" t="s">
        <v>3390</v>
      </c>
      <c r="E1041" s="12" t="s">
        <v>3543</v>
      </c>
      <c r="F1041" s="16">
        <v>450000</v>
      </c>
    </row>
    <row r="1042" spans="1:6" x14ac:dyDescent="0.2">
      <c r="A1042" s="8" t="s">
        <v>1795</v>
      </c>
      <c r="B1042" s="9">
        <v>19002193573</v>
      </c>
      <c r="C1042" s="10">
        <f ca="1">TODAY()-4142</f>
        <v>40079</v>
      </c>
      <c r="D1042" s="10" t="s">
        <v>3389</v>
      </c>
      <c r="E1042" s="12" t="s">
        <v>3435</v>
      </c>
      <c r="F1042" s="16">
        <v>495000</v>
      </c>
    </row>
    <row r="1043" spans="1:6" x14ac:dyDescent="0.2">
      <c r="A1043" s="8" t="s">
        <v>602</v>
      </c>
      <c r="B1043" s="9">
        <v>28503132220</v>
      </c>
      <c r="C1043" s="10">
        <f ca="1">TODAY()-333</f>
        <v>43888</v>
      </c>
      <c r="D1043" s="10" t="s">
        <v>3389</v>
      </c>
      <c r="E1043" s="12" t="s">
        <v>3418</v>
      </c>
      <c r="F1043" s="16">
        <v>295000</v>
      </c>
    </row>
    <row r="1044" spans="1:6" x14ac:dyDescent="0.2">
      <c r="A1044" s="8" t="s">
        <v>1805</v>
      </c>
      <c r="B1044" s="9">
        <v>18412068295</v>
      </c>
      <c r="C1044" s="10">
        <f ca="1">TODAY()-3617</f>
        <v>40604</v>
      </c>
      <c r="D1044" s="10" t="s">
        <v>2289</v>
      </c>
      <c r="E1044" s="12" t="s">
        <v>3564</v>
      </c>
      <c r="F1044" s="16">
        <v>320000</v>
      </c>
    </row>
    <row r="1045" spans="1:6" x14ac:dyDescent="0.2">
      <c r="A1045" s="8" t="s">
        <v>2059</v>
      </c>
      <c r="B1045" s="9">
        <v>17307018277</v>
      </c>
      <c r="C1045" s="10">
        <f ca="1">TODAY()-3014</f>
        <v>41207</v>
      </c>
      <c r="D1045" s="10" t="s">
        <v>3379</v>
      </c>
      <c r="E1045" s="12" t="s">
        <v>3538</v>
      </c>
      <c r="F1045" s="16">
        <v>255000</v>
      </c>
    </row>
    <row r="1046" spans="1:6" x14ac:dyDescent="0.2">
      <c r="A1046" s="8" t="s">
        <v>1981</v>
      </c>
      <c r="B1046" s="9">
        <v>27303162268</v>
      </c>
      <c r="C1046" s="10">
        <f ca="1">TODAY()-4808</f>
        <v>39413</v>
      </c>
      <c r="D1046" s="10" t="s">
        <v>3389</v>
      </c>
      <c r="E1046" s="12" t="s">
        <v>3558</v>
      </c>
      <c r="F1046" s="16">
        <v>275000</v>
      </c>
    </row>
    <row r="1047" spans="1:6" x14ac:dyDescent="0.2">
      <c r="A1047" s="8" t="s">
        <v>2214</v>
      </c>
      <c r="B1047" s="9">
        <v>18110215047</v>
      </c>
      <c r="C1047" s="10">
        <f ca="1">TODAY()-436</f>
        <v>43785</v>
      </c>
      <c r="D1047" s="10" t="s">
        <v>2301</v>
      </c>
      <c r="E1047" s="12" t="s">
        <v>3505</v>
      </c>
      <c r="F1047" s="16">
        <v>295000</v>
      </c>
    </row>
    <row r="1048" spans="1:6" x14ac:dyDescent="0.2">
      <c r="A1048" s="8" t="s">
        <v>1483</v>
      </c>
      <c r="B1048" s="9">
        <v>18111286152</v>
      </c>
      <c r="C1048" s="10">
        <f ca="1">TODAY()-2268</f>
        <v>41953</v>
      </c>
      <c r="D1048" s="10" t="s">
        <v>3379</v>
      </c>
      <c r="E1048" s="12" t="s">
        <v>3479</v>
      </c>
      <c r="F1048" s="16">
        <v>220000</v>
      </c>
    </row>
    <row r="1049" spans="1:6" x14ac:dyDescent="0.2">
      <c r="A1049" s="8" t="s">
        <v>2093</v>
      </c>
      <c r="B1049" s="9">
        <v>28708105213</v>
      </c>
      <c r="C1049" s="10">
        <f ca="1">TODAY()-1343</f>
        <v>42878</v>
      </c>
      <c r="D1049" s="10" t="s">
        <v>3392</v>
      </c>
      <c r="E1049" s="12" t="s">
        <v>3563</v>
      </c>
      <c r="F1049" s="16">
        <v>275000</v>
      </c>
    </row>
    <row r="1050" spans="1:6" x14ac:dyDescent="0.2">
      <c r="A1050" s="8" t="s">
        <v>1575</v>
      </c>
      <c r="B1050" s="9">
        <v>17806218049</v>
      </c>
      <c r="C1050" s="10">
        <f ca="1">TODAY()-3853</f>
        <v>40368</v>
      </c>
      <c r="D1050" s="10" t="s">
        <v>2296</v>
      </c>
      <c r="E1050" s="12" t="s">
        <v>3488</v>
      </c>
      <c r="F1050" s="16">
        <v>485000</v>
      </c>
    </row>
    <row r="1051" spans="1:6" x14ac:dyDescent="0.2">
      <c r="A1051" s="8" t="s">
        <v>1187</v>
      </c>
      <c r="B1051" s="9">
        <v>27908252764</v>
      </c>
      <c r="C1051" s="10">
        <f ca="1">TODAY()-1164</f>
        <v>43057</v>
      </c>
      <c r="D1051" s="10" t="s">
        <v>2285</v>
      </c>
      <c r="E1051" s="12" t="s">
        <v>3431</v>
      </c>
      <c r="F1051" s="16">
        <v>375000</v>
      </c>
    </row>
    <row r="1052" spans="1:6" x14ac:dyDescent="0.2">
      <c r="A1052" s="8" t="s">
        <v>1548</v>
      </c>
      <c r="B1052" s="9">
        <v>29010086598</v>
      </c>
      <c r="C1052" s="10">
        <f ca="1">TODAY()-521</f>
        <v>43700</v>
      </c>
      <c r="D1052" s="10" t="s">
        <v>3383</v>
      </c>
      <c r="E1052" s="12" t="s">
        <v>3549</v>
      </c>
      <c r="F1052" s="16">
        <v>495000</v>
      </c>
    </row>
    <row r="1053" spans="1:6" x14ac:dyDescent="0.2">
      <c r="A1053" s="8" t="s">
        <v>563</v>
      </c>
      <c r="B1053" s="9">
        <v>16611163395</v>
      </c>
      <c r="C1053" s="10">
        <f ca="1">TODAY()-4793</f>
        <v>39428</v>
      </c>
      <c r="D1053" s="10" t="s">
        <v>3390</v>
      </c>
      <c r="E1053" s="12" t="s">
        <v>3513</v>
      </c>
      <c r="F1053" s="16">
        <v>290000</v>
      </c>
    </row>
    <row r="1054" spans="1:6" x14ac:dyDescent="0.2">
      <c r="A1054" s="8" t="s">
        <v>1593</v>
      </c>
      <c r="B1054" s="9">
        <v>18608113258</v>
      </c>
      <c r="C1054" s="10">
        <f ca="1">TODAY()-4150</f>
        <v>40071</v>
      </c>
      <c r="D1054" s="10" t="s">
        <v>3379</v>
      </c>
      <c r="E1054" s="12" t="s">
        <v>3477</v>
      </c>
      <c r="F1054" s="16">
        <v>330000</v>
      </c>
    </row>
    <row r="1055" spans="1:6" x14ac:dyDescent="0.2">
      <c r="A1055" s="8" t="s">
        <v>1193</v>
      </c>
      <c r="B1055" s="9">
        <v>17505052947</v>
      </c>
      <c r="C1055" s="10">
        <f ca="1">TODAY()-4040</f>
        <v>40181</v>
      </c>
      <c r="D1055" s="10" t="s">
        <v>3390</v>
      </c>
      <c r="E1055" s="12" t="s">
        <v>3437</v>
      </c>
      <c r="F1055" s="16">
        <v>290000</v>
      </c>
    </row>
    <row r="1056" spans="1:6" x14ac:dyDescent="0.2">
      <c r="A1056" s="8" t="s">
        <v>2100</v>
      </c>
      <c r="B1056" s="9">
        <v>26003235811</v>
      </c>
      <c r="C1056" s="10">
        <f ca="1">TODAY()-4746</f>
        <v>39475</v>
      </c>
      <c r="D1056" s="10" t="s">
        <v>2284</v>
      </c>
      <c r="E1056" s="12" t="s">
        <v>3536</v>
      </c>
      <c r="F1056" s="16">
        <v>345000</v>
      </c>
    </row>
    <row r="1057" spans="1:6" x14ac:dyDescent="0.2">
      <c r="A1057" s="8" t="s">
        <v>1557</v>
      </c>
      <c r="B1057" s="9">
        <v>27605275941</v>
      </c>
      <c r="C1057" s="10">
        <f ca="1">TODAY()-3590</f>
        <v>40631</v>
      </c>
      <c r="D1057" s="10" t="s">
        <v>3400</v>
      </c>
      <c r="E1057" s="12" t="s">
        <v>3531</v>
      </c>
      <c r="F1057" s="16">
        <v>230000</v>
      </c>
    </row>
    <row r="1058" spans="1:6" x14ac:dyDescent="0.2">
      <c r="A1058" s="8" t="s">
        <v>2072</v>
      </c>
      <c r="B1058" s="9">
        <v>27207162641</v>
      </c>
      <c r="C1058" s="10">
        <f ca="1">TODAY()-3987</f>
        <v>40234</v>
      </c>
      <c r="D1058" s="10" t="s">
        <v>3387</v>
      </c>
      <c r="E1058" s="12" t="s">
        <v>3405</v>
      </c>
      <c r="F1058" s="16">
        <v>400000</v>
      </c>
    </row>
    <row r="1059" spans="1:6" x14ac:dyDescent="0.2">
      <c r="A1059" s="8" t="s">
        <v>443</v>
      </c>
      <c r="B1059" s="9">
        <v>17905094259</v>
      </c>
      <c r="C1059" s="10">
        <f ca="1">TODAY()-4008</f>
        <v>40213</v>
      </c>
      <c r="D1059" s="10" t="s">
        <v>2298</v>
      </c>
      <c r="E1059" s="12" t="s">
        <v>3447</v>
      </c>
      <c r="F1059" s="16">
        <v>385000</v>
      </c>
    </row>
    <row r="1060" spans="1:6" x14ac:dyDescent="0.2">
      <c r="A1060" s="8" t="s">
        <v>1346</v>
      </c>
      <c r="B1060" s="9">
        <v>27603059438</v>
      </c>
      <c r="C1060" s="10">
        <f ca="1">TODAY()-4185</f>
        <v>40036</v>
      </c>
      <c r="D1060" s="10" t="s">
        <v>3390</v>
      </c>
      <c r="E1060" s="12" t="s">
        <v>3564</v>
      </c>
      <c r="F1060" s="16">
        <v>450000</v>
      </c>
    </row>
    <row r="1061" spans="1:6" x14ac:dyDescent="0.2">
      <c r="A1061" s="8" t="s">
        <v>2269</v>
      </c>
      <c r="B1061" s="9">
        <v>26107037049</v>
      </c>
      <c r="C1061" s="10">
        <f ca="1">TODAY()-3770</f>
        <v>40451</v>
      </c>
      <c r="D1061" s="10" t="s">
        <v>2296</v>
      </c>
      <c r="E1061" s="12" t="s">
        <v>3481</v>
      </c>
      <c r="F1061" s="16">
        <v>385000</v>
      </c>
    </row>
    <row r="1062" spans="1:6" x14ac:dyDescent="0.2">
      <c r="A1062" s="8" t="s">
        <v>459</v>
      </c>
      <c r="B1062" s="9">
        <v>18108116808</v>
      </c>
      <c r="C1062" s="10">
        <f ca="1">TODAY()-1734</f>
        <v>42487</v>
      </c>
      <c r="D1062" s="10" t="s">
        <v>3378</v>
      </c>
      <c r="E1062" s="12" t="s">
        <v>3530</v>
      </c>
      <c r="F1062" s="16">
        <v>325000</v>
      </c>
    </row>
    <row r="1063" spans="1:6" x14ac:dyDescent="0.2">
      <c r="A1063" s="8" t="s">
        <v>1735</v>
      </c>
      <c r="B1063" s="9">
        <v>26703068713</v>
      </c>
      <c r="C1063" s="10">
        <f ca="1">TODAY()-3340</f>
        <v>40881</v>
      </c>
      <c r="D1063" s="10" t="s">
        <v>3378</v>
      </c>
      <c r="E1063" s="12" t="s">
        <v>3521</v>
      </c>
      <c r="F1063" s="16">
        <v>440000</v>
      </c>
    </row>
    <row r="1064" spans="1:6" x14ac:dyDescent="0.2">
      <c r="A1064" s="8" t="s">
        <v>1895</v>
      </c>
      <c r="B1064" s="9">
        <v>26203228665</v>
      </c>
      <c r="C1064" s="10">
        <f ca="1">TODAY()-4258</f>
        <v>39963</v>
      </c>
      <c r="D1064" s="10" t="s">
        <v>3378</v>
      </c>
      <c r="E1064" s="12" t="s">
        <v>3516</v>
      </c>
      <c r="F1064" s="16">
        <v>305000</v>
      </c>
    </row>
    <row r="1065" spans="1:6" x14ac:dyDescent="0.2">
      <c r="A1065" s="8" t="s">
        <v>475</v>
      </c>
      <c r="B1065" s="9">
        <v>18205134396</v>
      </c>
      <c r="C1065" s="10">
        <f ca="1">TODAY()-2067</f>
        <v>42154</v>
      </c>
      <c r="D1065" s="10" t="s">
        <v>2290</v>
      </c>
      <c r="E1065" s="12" t="s">
        <v>3500</v>
      </c>
      <c r="F1065" s="16">
        <v>205000</v>
      </c>
    </row>
    <row r="1066" spans="1:6" x14ac:dyDescent="0.2">
      <c r="A1066" s="8" t="s">
        <v>872</v>
      </c>
      <c r="B1066" s="9">
        <v>18610172433</v>
      </c>
      <c r="C1066" s="10">
        <f ca="1">TODAY()-3481</f>
        <v>40740</v>
      </c>
      <c r="D1066" s="10" t="s">
        <v>3400</v>
      </c>
      <c r="E1066" s="12" t="s">
        <v>3548</v>
      </c>
      <c r="F1066" s="16">
        <v>240000</v>
      </c>
    </row>
    <row r="1067" spans="1:6" x14ac:dyDescent="0.2">
      <c r="A1067" s="8" t="s">
        <v>2241</v>
      </c>
      <c r="B1067" s="9">
        <v>17503102896</v>
      </c>
      <c r="C1067" s="10">
        <f ca="1">TODAY()-1660</f>
        <v>42561</v>
      </c>
      <c r="D1067" s="10" t="s">
        <v>3402</v>
      </c>
      <c r="E1067" s="12" t="s">
        <v>3526</v>
      </c>
      <c r="F1067" s="16">
        <v>370000</v>
      </c>
    </row>
    <row r="1068" spans="1:6" x14ac:dyDescent="0.2">
      <c r="A1068" s="8" t="s">
        <v>1990</v>
      </c>
      <c r="B1068" s="9">
        <v>27306146477</v>
      </c>
      <c r="C1068" s="10">
        <f ca="1">TODAY()-270</f>
        <v>43951</v>
      </c>
      <c r="D1068" s="10" t="s">
        <v>2303</v>
      </c>
      <c r="E1068" s="12" t="s">
        <v>3525</v>
      </c>
      <c r="F1068" s="16">
        <v>335000</v>
      </c>
    </row>
    <row r="1069" spans="1:6" x14ac:dyDescent="0.2">
      <c r="A1069" s="8" t="s">
        <v>1076</v>
      </c>
      <c r="B1069" s="9">
        <v>17506171569</v>
      </c>
      <c r="C1069" s="10">
        <f ca="1">TODAY()-39</f>
        <v>44182</v>
      </c>
      <c r="D1069" s="10" t="s">
        <v>3380</v>
      </c>
      <c r="E1069" s="12" t="s">
        <v>3564</v>
      </c>
      <c r="F1069" s="16">
        <v>440000</v>
      </c>
    </row>
    <row r="1070" spans="1:6" x14ac:dyDescent="0.2">
      <c r="A1070" s="8" t="s">
        <v>936</v>
      </c>
      <c r="B1070" s="9">
        <v>26107053794</v>
      </c>
      <c r="C1070" s="10">
        <f ca="1">TODAY()-3458</f>
        <v>40763</v>
      </c>
      <c r="D1070" s="10" t="s">
        <v>3389</v>
      </c>
      <c r="E1070" s="12" t="s">
        <v>3532</v>
      </c>
      <c r="F1070" s="16">
        <v>470000</v>
      </c>
    </row>
    <row r="1071" spans="1:6" x14ac:dyDescent="0.2">
      <c r="A1071" s="8" t="s">
        <v>1947</v>
      </c>
      <c r="B1071" s="9">
        <v>26101089553</v>
      </c>
      <c r="C1071" s="10">
        <f ca="1">TODAY()-4259</f>
        <v>39962</v>
      </c>
      <c r="D1071" s="10" t="s">
        <v>2302</v>
      </c>
      <c r="E1071" s="12" t="s">
        <v>3450</v>
      </c>
      <c r="F1071" s="16">
        <v>355000</v>
      </c>
    </row>
    <row r="1072" spans="1:6" x14ac:dyDescent="0.2">
      <c r="A1072" s="8" t="s">
        <v>1147</v>
      </c>
      <c r="B1072" s="9">
        <v>16007235662</v>
      </c>
      <c r="C1072" s="10">
        <f ca="1">TODAY()-4597</f>
        <v>39624</v>
      </c>
      <c r="D1072" s="10" t="s">
        <v>3395</v>
      </c>
      <c r="E1072" s="12" t="s">
        <v>3555</v>
      </c>
      <c r="F1072" s="16">
        <v>485000</v>
      </c>
    </row>
    <row r="1073" spans="1:6" x14ac:dyDescent="0.2">
      <c r="A1073" s="8" t="s">
        <v>2209</v>
      </c>
      <c r="B1073" s="9">
        <v>18708225142</v>
      </c>
      <c r="C1073" s="10">
        <f ca="1">TODAY()-3629</f>
        <v>40592</v>
      </c>
      <c r="D1073" s="10" t="s">
        <v>3400</v>
      </c>
      <c r="E1073" s="12" t="s">
        <v>3519</v>
      </c>
      <c r="F1073" s="16">
        <v>235000</v>
      </c>
    </row>
    <row r="1074" spans="1:6" x14ac:dyDescent="0.2">
      <c r="A1074" s="8" t="s">
        <v>2227</v>
      </c>
      <c r="B1074" s="9">
        <v>28706284470</v>
      </c>
      <c r="C1074" s="10">
        <f ca="1">TODAY()-4093</f>
        <v>40128</v>
      </c>
      <c r="D1074" s="10" t="s">
        <v>2294</v>
      </c>
      <c r="E1074" s="12" t="s">
        <v>3534</v>
      </c>
      <c r="F1074" s="16">
        <v>230000</v>
      </c>
    </row>
    <row r="1075" spans="1:6" x14ac:dyDescent="0.2">
      <c r="A1075" s="8" t="s">
        <v>2101</v>
      </c>
      <c r="B1075" s="9">
        <v>16111041347</v>
      </c>
      <c r="C1075" s="10">
        <f ca="1">TODAY()-4546</f>
        <v>39675</v>
      </c>
      <c r="D1075" s="10" t="s">
        <v>2290</v>
      </c>
      <c r="E1075" s="12" t="s">
        <v>2290</v>
      </c>
      <c r="F1075" s="16">
        <v>500000</v>
      </c>
    </row>
    <row r="1076" spans="1:6" x14ac:dyDescent="0.2">
      <c r="A1076" s="8" t="s">
        <v>1708</v>
      </c>
      <c r="B1076" s="9">
        <v>16408152182</v>
      </c>
      <c r="C1076" s="10">
        <f ca="1">TODAY()-2666</f>
        <v>41555</v>
      </c>
      <c r="D1076" s="10" t="s">
        <v>2284</v>
      </c>
      <c r="E1076" s="12" t="s">
        <v>3559</v>
      </c>
      <c r="F1076" s="16">
        <v>425000</v>
      </c>
    </row>
    <row r="1077" spans="1:6" x14ac:dyDescent="0.2">
      <c r="A1077" s="8" t="s">
        <v>2237</v>
      </c>
      <c r="B1077" s="9">
        <v>27501217777</v>
      </c>
      <c r="C1077" s="10">
        <f ca="1">TODAY()-3790</f>
        <v>40431</v>
      </c>
      <c r="D1077" s="10" t="s">
        <v>3389</v>
      </c>
      <c r="E1077" s="12" t="s">
        <v>3553</v>
      </c>
      <c r="F1077" s="16">
        <v>300000</v>
      </c>
    </row>
    <row r="1078" spans="1:6" x14ac:dyDescent="0.2">
      <c r="A1078" s="8" t="s">
        <v>911</v>
      </c>
      <c r="B1078" s="9">
        <v>17301165519</v>
      </c>
      <c r="C1078" s="10">
        <f ca="1">TODAY()-3905</f>
        <v>40316</v>
      </c>
      <c r="D1078" s="10" t="s">
        <v>3381</v>
      </c>
      <c r="E1078" s="12" t="s">
        <v>3538</v>
      </c>
      <c r="F1078" s="16">
        <v>450000</v>
      </c>
    </row>
    <row r="1079" spans="1:6" x14ac:dyDescent="0.2">
      <c r="A1079" s="8" t="s">
        <v>1948</v>
      </c>
      <c r="B1079" s="9">
        <v>27011275361</v>
      </c>
      <c r="C1079" s="10">
        <f ca="1">TODAY()-3653</f>
        <v>40568</v>
      </c>
      <c r="D1079" s="10" t="s">
        <v>3399</v>
      </c>
      <c r="E1079" s="12" t="s">
        <v>3479</v>
      </c>
      <c r="F1079" s="16">
        <v>195000</v>
      </c>
    </row>
    <row r="1080" spans="1:6" x14ac:dyDescent="0.2">
      <c r="A1080" s="8" t="s">
        <v>1403</v>
      </c>
      <c r="B1080" s="9">
        <v>27404101877</v>
      </c>
      <c r="C1080" s="10">
        <f ca="1">TODAY()-4635</f>
        <v>39586</v>
      </c>
      <c r="D1080" s="10" t="s">
        <v>3402</v>
      </c>
      <c r="E1080" s="12" t="s">
        <v>3504</v>
      </c>
      <c r="F1080" s="16">
        <v>190000</v>
      </c>
    </row>
    <row r="1081" spans="1:6" x14ac:dyDescent="0.2">
      <c r="A1081" s="8" t="s">
        <v>1334</v>
      </c>
      <c r="B1081" s="9">
        <v>16602049861</v>
      </c>
      <c r="C1081" s="10">
        <f ca="1">TODAY()-4818</f>
        <v>39403</v>
      </c>
      <c r="D1081" s="10" t="s">
        <v>3402</v>
      </c>
      <c r="E1081" s="12" t="s">
        <v>3476</v>
      </c>
      <c r="F1081" s="16">
        <v>425000</v>
      </c>
    </row>
    <row r="1082" spans="1:6" x14ac:dyDescent="0.2">
      <c r="A1082" s="8" t="s">
        <v>568</v>
      </c>
      <c r="B1082" s="9">
        <v>27408285113</v>
      </c>
      <c r="C1082" s="10">
        <f ca="1">TODAY()-458</f>
        <v>43763</v>
      </c>
      <c r="D1082" s="10" t="s">
        <v>3394</v>
      </c>
      <c r="E1082" s="12" t="s">
        <v>3474</v>
      </c>
      <c r="F1082" s="16">
        <v>460000</v>
      </c>
    </row>
    <row r="1083" spans="1:6" x14ac:dyDescent="0.2">
      <c r="A1083" s="8" t="s">
        <v>1264</v>
      </c>
      <c r="B1083" s="9">
        <v>18607212654</v>
      </c>
      <c r="C1083" s="10">
        <f ca="1">TODAY()-2560</f>
        <v>41661</v>
      </c>
      <c r="D1083" s="10" t="s">
        <v>3382</v>
      </c>
      <c r="E1083" s="12" t="s">
        <v>3458</v>
      </c>
      <c r="F1083" s="16">
        <v>185000</v>
      </c>
    </row>
    <row r="1084" spans="1:6" x14ac:dyDescent="0.2">
      <c r="A1084" s="8" t="s">
        <v>1269</v>
      </c>
      <c r="B1084" s="9">
        <v>17505069332</v>
      </c>
      <c r="C1084" s="10">
        <f ca="1">TODAY()-1938</f>
        <v>42283</v>
      </c>
      <c r="D1084" s="10" t="s">
        <v>2301</v>
      </c>
      <c r="E1084" s="12" t="s">
        <v>3473</v>
      </c>
      <c r="F1084" s="16">
        <v>330000</v>
      </c>
    </row>
    <row r="1085" spans="1:6" x14ac:dyDescent="0.2">
      <c r="A1085" s="8" t="s">
        <v>1984</v>
      </c>
      <c r="B1085" s="9">
        <v>29006053728</v>
      </c>
      <c r="C1085" s="10">
        <f ca="1">TODAY()-2905</f>
        <v>41316</v>
      </c>
      <c r="D1085" s="10" t="s">
        <v>2297</v>
      </c>
      <c r="E1085" s="12" t="s">
        <v>3450</v>
      </c>
      <c r="F1085" s="16">
        <v>350000</v>
      </c>
    </row>
    <row r="1086" spans="1:6" x14ac:dyDescent="0.2">
      <c r="A1086" s="8" t="s">
        <v>1173</v>
      </c>
      <c r="B1086" s="9">
        <v>18211166111</v>
      </c>
      <c r="C1086" s="10">
        <f ca="1">TODAY()-3668</f>
        <v>40553</v>
      </c>
      <c r="D1086" s="10" t="s">
        <v>3378</v>
      </c>
      <c r="E1086" s="12" t="s">
        <v>3378</v>
      </c>
      <c r="F1086" s="16">
        <v>230000</v>
      </c>
    </row>
    <row r="1087" spans="1:6" x14ac:dyDescent="0.2">
      <c r="A1087" s="8" t="s">
        <v>1066</v>
      </c>
      <c r="B1087" s="9">
        <v>17312243708</v>
      </c>
      <c r="C1087" s="10">
        <f ca="1">TODAY()-3598</f>
        <v>40623</v>
      </c>
      <c r="D1087" s="10" t="s">
        <v>3381</v>
      </c>
      <c r="E1087" s="12" t="s">
        <v>3560</v>
      </c>
      <c r="F1087" s="16">
        <v>375000</v>
      </c>
    </row>
    <row r="1088" spans="1:6" x14ac:dyDescent="0.2">
      <c r="A1088" s="8" t="s">
        <v>1367</v>
      </c>
      <c r="B1088" s="9">
        <v>26408037552</v>
      </c>
      <c r="C1088" s="10">
        <f ca="1">TODAY()-1744</f>
        <v>42477</v>
      </c>
      <c r="D1088" s="10" t="s">
        <v>3383</v>
      </c>
      <c r="E1088" s="12" t="s">
        <v>3422</v>
      </c>
      <c r="F1088" s="16">
        <v>435000</v>
      </c>
    </row>
    <row r="1089" spans="1:6" x14ac:dyDescent="0.2">
      <c r="A1089" s="8" t="s">
        <v>751</v>
      </c>
      <c r="B1089" s="9">
        <v>28108139333</v>
      </c>
      <c r="C1089" s="10">
        <f ca="1">TODAY()-3571</f>
        <v>40650</v>
      </c>
      <c r="D1089" s="10" t="s">
        <v>3390</v>
      </c>
      <c r="E1089" s="12" t="s">
        <v>3409</v>
      </c>
      <c r="F1089" s="16">
        <v>460000</v>
      </c>
    </row>
    <row r="1090" spans="1:6" x14ac:dyDescent="0.2">
      <c r="A1090" s="8" t="s">
        <v>1449</v>
      </c>
      <c r="B1090" s="9">
        <v>27303095783</v>
      </c>
      <c r="C1090" s="10">
        <f ca="1">TODAY()-2062</f>
        <v>42159</v>
      </c>
      <c r="D1090" s="10" t="s">
        <v>2293</v>
      </c>
      <c r="E1090" s="12" t="s">
        <v>3435</v>
      </c>
      <c r="F1090" s="16">
        <v>465000</v>
      </c>
    </row>
    <row r="1091" spans="1:6" x14ac:dyDescent="0.2">
      <c r="A1091" s="8" t="s">
        <v>1119</v>
      </c>
      <c r="B1091" s="9">
        <v>19012147930</v>
      </c>
      <c r="C1091" s="10">
        <f ca="1">TODAY()-3207</f>
        <v>41014</v>
      </c>
      <c r="D1091" s="10" t="s">
        <v>2287</v>
      </c>
      <c r="E1091" s="12" t="s">
        <v>3548</v>
      </c>
      <c r="F1091" s="16">
        <v>340000</v>
      </c>
    </row>
    <row r="1092" spans="1:6" x14ac:dyDescent="0.2">
      <c r="A1092" s="8" t="s">
        <v>1314</v>
      </c>
      <c r="B1092" s="9">
        <v>27101166530</v>
      </c>
      <c r="C1092" s="10">
        <f ca="1">TODAY()-3315</f>
        <v>40906</v>
      </c>
      <c r="D1092" s="10" t="s">
        <v>3386</v>
      </c>
      <c r="E1092" s="12" t="s">
        <v>3497</v>
      </c>
      <c r="F1092" s="16">
        <v>320000</v>
      </c>
    </row>
    <row r="1093" spans="1:6" x14ac:dyDescent="0.2">
      <c r="A1093" s="8" t="s">
        <v>554</v>
      </c>
      <c r="B1093" s="9">
        <v>17709015270</v>
      </c>
      <c r="C1093" s="10">
        <f ca="1">TODAY()-1174</f>
        <v>43047</v>
      </c>
      <c r="D1093" s="10" t="s">
        <v>3391</v>
      </c>
      <c r="E1093" s="12" t="s">
        <v>3506</v>
      </c>
      <c r="F1093" s="16">
        <v>225000</v>
      </c>
    </row>
    <row r="1094" spans="1:6" x14ac:dyDescent="0.2">
      <c r="A1094" s="8" t="s">
        <v>1002</v>
      </c>
      <c r="B1094" s="9">
        <v>29004107597</v>
      </c>
      <c r="C1094" s="10">
        <f ca="1">TODAY()-4825</f>
        <v>39396</v>
      </c>
      <c r="D1094" s="10" t="s">
        <v>3389</v>
      </c>
      <c r="E1094" s="12" t="s">
        <v>3527</v>
      </c>
      <c r="F1094" s="16">
        <v>380000</v>
      </c>
    </row>
    <row r="1095" spans="1:6" x14ac:dyDescent="0.2">
      <c r="A1095" s="8" t="s">
        <v>534</v>
      </c>
      <c r="B1095" s="9">
        <v>17401131788</v>
      </c>
      <c r="C1095" s="10">
        <f ca="1">TODAY()-2898</f>
        <v>41323</v>
      </c>
      <c r="D1095" s="10" t="s">
        <v>2300</v>
      </c>
      <c r="E1095" s="12" t="s">
        <v>3512</v>
      </c>
      <c r="F1095" s="16">
        <v>430000</v>
      </c>
    </row>
    <row r="1096" spans="1:6" x14ac:dyDescent="0.2">
      <c r="A1096" s="8" t="s">
        <v>1235</v>
      </c>
      <c r="B1096" s="9">
        <v>18403023116</v>
      </c>
      <c r="C1096" s="10">
        <f ca="1">TODAY()-4627</f>
        <v>39594</v>
      </c>
      <c r="D1096" s="10" t="s">
        <v>3378</v>
      </c>
      <c r="E1096" s="12" t="s">
        <v>3417</v>
      </c>
      <c r="F1096" s="16">
        <v>320000</v>
      </c>
    </row>
    <row r="1097" spans="1:6" x14ac:dyDescent="0.2">
      <c r="A1097" s="8" t="s">
        <v>711</v>
      </c>
      <c r="B1097" s="9">
        <v>18610142560</v>
      </c>
      <c r="C1097" s="10">
        <f ca="1">TODAY()-3868</f>
        <v>40353</v>
      </c>
      <c r="D1097" s="10" t="s">
        <v>2299</v>
      </c>
      <c r="E1097" s="12" t="s">
        <v>3547</v>
      </c>
      <c r="F1097" s="16">
        <v>230000</v>
      </c>
    </row>
    <row r="1098" spans="1:6" x14ac:dyDescent="0.2">
      <c r="A1098" s="8" t="s">
        <v>466</v>
      </c>
      <c r="B1098" s="9">
        <v>26304263604</v>
      </c>
      <c r="C1098" s="10">
        <f ca="1">TODAY()-2702</f>
        <v>41519</v>
      </c>
      <c r="D1098" s="10" t="s">
        <v>3386</v>
      </c>
      <c r="E1098" s="12" t="s">
        <v>3549</v>
      </c>
      <c r="F1098" s="16">
        <v>275000</v>
      </c>
    </row>
    <row r="1099" spans="1:6" x14ac:dyDescent="0.2">
      <c r="A1099" s="8" t="s">
        <v>1554</v>
      </c>
      <c r="B1099" s="9">
        <v>27512196160</v>
      </c>
      <c r="C1099" s="10">
        <f ca="1">TODAY()-1189</f>
        <v>43032</v>
      </c>
      <c r="D1099" s="10" t="s">
        <v>3380</v>
      </c>
      <c r="E1099" s="12" t="s">
        <v>3522</v>
      </c>
      <c r="F1099" s="16">
        <v>395000</v>
      </c>
    </row>
    <row r="1100" spans="1:6" x14ac:dyDescent="0.2">
      <c r="A1100" s="8" t="s">
        <v>1163</v>
      </c>
      <c r="B1100" s="9">
        <v>18909273070</v>
      </c>
      <c r="C1100" s="10">
        <f ca="1">TODAY()-2691</f>
        <v>41530</v>
      </c>
      <c r="D1100" s="10" t="s">
        <v>3398</v>
      </c>
      <c r="E1100" s="12" t="s">
        <v>3537</v>
      </c>
      <c r="F1100" s="16">
        <v>325000</v>
      </c>
    </row>
    <row r="1101" spans="1:6" x14ac:dyDescent="0.2">
      <c r="A1101" s="8" t="s">
        <v>1629</v>
      </c>
      <c r="B1101" s="9">
        <v>26207221558</v>
      </c>
      <c r="C1101" s="10">
        <f ca="1">TODAY()-2729</f>
        <v>41492</v>
      </c>
      <c r="D1101" s="10" t="s">
        <v>2300</v>
      </c>
      <c r="E1101" s="12" t="s">
        <v>3425</v>
      </c>
      <c r="F1101" s="16">
        <v>460000</v>
      </c>
    </row>
    <row r="1102" spans="1:6" x14ac:dyDescent="0.2">
      <c r="A1102" s="8" t="s">
        <v>1847</v>
      </c>
      <c r="B1102" s="9">
        <v>27706223987</v>
      </c>
      <c r="C1102" s="10">
        <f ca="1">TODAY()-3956</f>
        <v>40265</v>
      </c>
      <c r="D1102" s="10" t="s">
        <v>3400</v>
      </c>
      <c r="E1102" s="12" t="s">
        <v>3400</v>
      </c>
      <c r="F1102" s="16">
        <v>190000</v>
      </c>
    </row>
    <row r="1103" spans="1:6" x14ac:dyDescent="0.2">
      <c r="A1103" s="8" t="s">
        <v>2082</v>
      </c>
      <c r="B1103" s="9">
        <v>17006231531</v>
      </c>
      <c r="C1103" s="10">
        <f ca="1">TODAY()-1898</f>
        <v>42323</v>
      </c>
      <c r="D1103" s="10" t="s">
        <v>2298</v>
      </c>
      <c r="E1103" s="12" t="s">
        <v>3525</v>
      </c>
      <c r="F1103" s="16">
        <v>345000</v>
      </c>
    </row>
    <row r="1104" spans="1:6" x14ac:dyDescent="0.2">
      <c r="A1104" s="8" t="s">
        <v>490</v>
      </c>
      <c r="B1104" s="9">
        <v>17411172123</v>
      </c>
      <c r="C1104" s="10">
        <f ca="1">TODAY()-1315</f>
        <v>42906</v>
      </c>
      <c r="D1104" s="10" t="s">
        <v>3394</v>
      </c>
      <c r="E1104" s="12" t="s">
        <v>3469</v>
      </c>
      <c r="F1104" s="16">
        <v>190000</v>
      </c>
    </row>
    <row r="1105" spans="1:6" x14ac:dyDescent="0.2">
      <c r="A1105" s="8" t="s">
        <v>1378</v>
      </c>
      <c r="B1105" s="9">
        <v>26804172936</v>
      </c>
      <c r="C1105" s="10">
        <f ca="1">TODAY()-114</f>
        <v>44107</v>
      </c>
      <c r="D1105" s="10" t="s">
        <v>3378</v>
      </c>
      <c r="E1105" s="12" t="s">
        <v>3519</v>
      </c>
      <c r="F1105" s="16">
        <v>285000</v>
      </c>
    </row>
    <row r="1106" spans="1:6" x14ac:dyDescent="0.2">
      <c r="A1106" s="8" t="s">
        <v>2040</v>
      </c>
      <c r="B1106" s="9">
        <v>28310185626</v>
      </c>
      <c r="C1106" s="10">
        <f ca="1">TODAY()-4326</f>
        <v>39895</v>
      </c>
      <c r="D1106" s="10" t="s">
        <v>2291</v>
      </c>
      <c r="E1106" s="12" t="s">
        <v>3530</v>
      </c>
      <c r="F1106" s="16">
        <v>455000</v>
      </c>
    </row>
    <row r="1107" spans="1:6" x14ac:dyDescent="0.2">
      <c r="A1107" s="8" t="s">
        <v>1230</v>
      </c>
      <c r="B1107" s="9">
        <v>17510031192</v>
      </c>
      <c r="C1107" s="10">
        <f ca="1">TODAY()-4312</f>
        <v>39909</v>
      </c>
      <c r="D1107" s="10" t="s">
        <v>2302</v>
      </c>
      <c r="E1107" s="12" t="s">
        <v>3538</v>
      </c>
      <c r="F1107" s="16">
        <v>480000</v>
      </c>
    </row>
    <row r="1108" spans="1:6" x14ac:dyDescent="0.2">
      <c r="A1108" s="8" t="s">
        <v>1891</v>
      </c>
      <c r="B1108" s="9">
        <v>27901231154</v>
      </c>
      <c r="C1108" s="10">
        <f ca="1">TODAY()-791</f>
        <v>43430</v>
      </c>
      <c r="D1108" s="10" t="s">
        <v>2284</v>
      </c>
      <c r="E1108" s="12" t="s">
        <v>3471</v>
      </c>
      <c r="F1108" s="16">
        <v>225000</v>
      </c>
    </row>
    <row r="1109" spans="1:6" x14ac:dyDescent="0.2">
      <c r="A1109" s="8" t="s">
        <v>2189</v>
      </c>
      <c r="B1109" s="9">
        <v>27007163140</v>
      </c>
      <c r="C1109" s="10">
        <f ca="1">TODAY()-3758</f>
        <v>40463</v>
      </c>
      <c r="D1109" s="10" t="s">
        <v>3395</v>
      </c>
      <c r="E1109" s="12" t="s">
        <v>3430</v>
      </c>
      <c r="F1109" s="16">
        <v>450000</v>
      </c>
    </row>
    <row r="1110" spans="1:6" x14ac:dyDescent="0.2">
      <c r="A1110" s="8" t="s">
        <v>1715</v>
      </c>
      <c r="B1110" s="9">
        <v>27806116951</v>
      </c>
      <c r="C1110" s="10">
        <f ca="1">TODAY()-591</f>
        <v>43630</v>
      </c>
      <c r="D1110" s="10" t="s">
        <v>3383</v>
      </c>
      <c r="E1110" s="12" t="s">
        <v>3533</v>
      </c>
      <c r="F1110" s="16">
        <v>290000</v>
      </c>
    </row>
    <row r="1111" spans="1:6" x14ac:dyDescent="0.2">
      <c r="A1111" s="8" t="s">
        <v>1709</v>
      </c>
      <c r="B1111" s="9">
        <v>17104181383</v>
      </c>
      <c r="C1111" s="10">
        <f ca="1">TODAY()-575</f>
        <v>43646</v>
      </c>
      <c r="D1111" s="10" t="s">
        <v>3402</v>
      </c>
      <c r="E1111" s="12" t="s">
        <v>3463</v>
      </c>
      <c r="F1111" s="16">
        <v>440000</v>
      </c>
    </row>
    <row r="1112" spans="1:6" x14ac:dyDescent="0.2">
      <c r="A1112" s="8" t="s">
        <v>1549</v>
      </c>
      <c r="B1112" s="9">
        <v>17808164430</v>
      </c>
      <c r="C1112" s="10">
        <f ca="1">TODAY()-329</f>
        <v>43892</v>
      </c>
      <c r="D1112" s="10" t="s">
        <v>2291</v>
      </c>
      <c r="E1112" s="12" t="s">
        <v>3501</v>
      </c>
      <c r="F1112" s="16">
        <v>450000</v>
      </c>
    </row>
    <row r="1113" spans="1:6" x14ac:dyDescent="0.2">
      <c r="A1113" s="8" t="s">
        <v>1192</v>
      </c>
      <c r="B1113" s="9">
        <v>18112065938</v>
      </c>
      <c r="C1113" s="10">
        <f ca="1">TODAY()-4340</f>
        <v>39881</v>
      </c>
      <c r="D1113" s="10" t="s">
        <v>2285</v>
      </c>
      <c r="E1113" s="12" t="s">
        <v>3432</v>
      </c>
      <c r="F1113" s="16">
        <v>205000</v>
      </c>
    </row>
    <row r="1114" spans="1:6" x14ac:dyDescent="0.2">
      <c r="A1114" s="8" t="s">
        <v>1649</v>
      </c>
      <c r="B1114" s="9">
        <v>18510042494</v>
      </c>
      <c r="C1114" s="10">
        <f ca="1">TODAY()-4590</f>
        <v>39631</v>
      </c>
      <c r="D1114" s="10" t="s">
        <v>3400</v>
      </c>
      <c r="E1114" s="12" t="s">
        <v>3448</v>
      </c>
      <c r="F1114" s="16">
        <v>415000</v>
      </c>
    </row>
    <row r="1115" spans="1:6" x14ac:dyDescent="0.2">
      <c r="A1115" s="8" t="s">
        <v>1670</v>
      </c>
      <c r="B1115" s="9">
        <v>26004109541</v>
      </c>
      <c r="C1115" s="10">
        <f ca="1">TODAY()-4990</f>
        <v>39231</v>
      </c>
      <c r="D1115" s="10" t="s">
        <v>2299</v>
      </c>
      <c r="E1115" s="12" t="s">
        <v>3517</v>
      </c>
      <c r="F1115" s="16">
        <v>490000</v>
      </c>
    </row>
    <row r="1116" spans="1:6" x14ac:dyDescent="0.2">
      <c r="A1116" s="8" t="s">
        <v>928</v>
      </c>
      <c r="B1116" s="9">
        <v>26805075145</v>
      </c>
      <c r="C1116" s="10">
        <f ca="1">TODAY()-2155</f>
        <v>42066</v>
      </c>
      <c r="D1116" s="10" t="s">
        <v>3397</v>
      </c>
      <c r="E1116" s="12" t="s">
        <v>3434</v>
      </c>
      <c r="F1116" s="16">
        <v>305000</v>
      </c>
    </row>
    <row r="1117" spans="1:6" x14ac:dyDescent="0.2">
      <c r="A1117" s="8" t="s">
        <v>1270</v>
      </c>
      <c r="B1117" s="9">
        <v>27006231597</v>
      </c>
      <c r="C1117" s="10">
        <f ca="1">TODAY()-2321</f>
        <v>41900</v>
      </c>
      <c r="D1117" s="10" t="s">
        <v>3402</v>
      </c>
      <c r="E1117" s="12" t="s">
        <v>3479</v>
      </c>
      <c r="F1117" s="16">
        <v>195000</v>
      </c>
    </row>
    <row r="1118" spans="1:6" x14ac:dyDescent="0.2">
      <c r="A1118" s="8" t="s">
        <v>424</v>
      </c>
      <c r="B1118" s="9">
        <v>16407164492</v>
      </c>
      <c r="C1118" s="10">
        <f ca="1">TODAY()-1647</f>
        <v>42574</v>
      </c>
      <c r="D1118" s="10" t="s">
        <v>2298</v>
      </c>
      <c r="E1118" s="12" t="s">
        <v>3559</v>
      </c>
      <c r="F1118" s="16">
        <v>345000</v>
      </c>
    </row>
    <row r="1119" spans="1:6" x14ac:dyDescent="0.2">
      <c r="A1119" s="8" t="s">
        <v>2132</v>
      </c>
      <c r="B1119" s="9">
        <v>27709127588</v>
      </c>
      <c r="C1119" s="10">
        <f ca="1">TODAY()-473</f>
        <v>43748</v>
      </c>
      <c r="D1119" s="10" t="s">
        <v>2302</v>
      </c>
      <c r="E1119" s="12" t="s">
        <v>3504</v>
      </c>
      <c r="F1119" s="16">
        <v>340000</v>
      </c>
    </row>
    <row r="1120" spans="1:6" x14ac:dyDescent="0.2">
      <c r="A1120" s="8" t="s">
        <v>1751</v>
      </c>
      <c r="B1120" s="9">
        <v>26802085925</v>
      </c>
      <c r="C1120" s="10">
        <f ca="1">TODAY()-1427</f>
        <v>42794</v>
      </c>
      <c r="D1120" s="10" t="s">
        <v>2297</v>
      </c>
      <c r="E1120" s="12" t="s">
        <v>3561</v>
      </c>
      <c r="F1120" s="16">
        <v>450000</v>
      </c>
    </row>
    <row r="1121" spans="1:6" x14ac:dyDescent="0.2">
      <c r="A1121" s="8" t="s">
        <v>980</v>
      </c>
      <c r="B1121" s="9">
        <v>18803278701</v>
      </c>
      <c r="C1121" s="10">
        <f ca="1">TODAY()-4424</f>
        <v>39797</v>
      </c>
      <c r="D1121" s="10" t="s">
        <v>3391</v>
      </c>
      <c r="E1121" s="12" t="s">
        <v>3457</v>
      </c>
      <c r="F1121" s="16">
        <v>220000</v>
      </c>
    </row>
    <row r="1122" spans="1:6" x14ac:dyDescent="0.2">
      <c r="A1122" s="8" t="s">
        <v>1454</v>
      </c>
      <c r="B1122" s="9">
        <v>16907226566</v>
      </c>
      <c r="C1122" s="10">
        <f ca="1">TODAY()-1470</f>
        <v>42751</v>
      </c>
      <c r="D1122" s="10" t="s">
        <v>3385</v>
      </c>
      <c r="E1122" s="12" t="s">
        <v>3544</v>
      </c>
      <c r="F1122" s="16">
        <v>260000</v>
      </c>
    </row>
    <row r="1123" spans="1:6" x14ac:dyDescent="0.2">
      <c r="A1123" s="8" t="s">
        <v>2123</v>
      </c>
      <c r="B1123" s="9">
        <v>17803037949</v>
      </c>
      <c r="C1123" s="10">
        <f ca="1">TODAY()-1051</f>
        <v>43170</v>
      </c>
      <c r="D1123" s="10" t="s">
        <v>2300</v>
      </c>
      <c r="E1123" s="12" t="s">
        <v>3415</v>
      </c>
      <c r="F1123" s="16">
        <v>245000</v>
      </c>
    </row>
    <row r="1124" spans="1:6" x14ac:dyDescent="0.2">
      <c r="A1124" s="8" t="s">
        <v>423</v>
      </c>
      <c r="B1124" s="9">
        <v>18002187004</v>
      </c>
      <c r="C1124" s="10">
        <f ca="1">TODAY()-2474</f>
        <v>41747</v>
      </c>
      <c r="D1124" s="10" t="s">
        <v>3382</v>
      </c>
      <c r="E1124" s="12" t="s">
        <v>3536</v>
      </c>
      <c r="F1124" s="16">
        <v>350000</v>
      </c>
    </row>
    <row r="1125" spans="1:6" x14ac:dyDescent="0.2">
      <c r="A1125" s="8" t="s">
        <v>1409</v>
      </c>
      <c r="B1125" s="9">
        <v>26708203412</v>
      </c>
      <c r="C1125" s="10">
        <f ca="1">TODAY()-757</f>
        <v>43464</v>
      </c>
      <c r="D1125" s="10" t="s">
        <v>3393</v>
      </c>
      <c r="E1125" s="12" t="s">
        <v>3393</v>
      </c>
      <c r="F1125" s="16">
        <v>300000</v>
      </c>
    </row>
    <row r="1126" spans="1:6" x14ac:dyDescent="0.2">
      <c r="A1126" s="8" t="s">
        <v>1846</v>
      </c>
      <c r="B1126" s="9">
        <v>18606139588</v>
      </c>
      <c r="C1126" s="10">
        <f ca="1">TODAY()-4155</f>
        <v>40066</v>
      </c>
      <c r="D1126" s="10" t="s">
        <v>2298</v>
      </c>
      <c r="E1126" s="12" t="s">
        <v>3441</v>
      </c>
      <c r="F1126" s="16">
        <v>185000</v>
      </c>
    </row>
    <row r="1127" spans="1:6" x14ac:dyDescent="0.2">
      <c r="A1127" s="8" t="s">
        <v>463</v>
      </c>
      <c r="B1127" s="9">
        <v>27609271379</v>
      </c>
      <c r="C1127" s="10">
        <f ca="1">TODAY()-3094</f>
        <v>41127</v>
      </c>
      <c r="D1127" s="10" t="s">
        <v>2300</v>
      </c>
      <c r="E1127" s="12" t="s">
        <v>3406</v>
      </c>
      <c r="F1127" s="16">
        <v>420000</v>
      </c>
    </row>
    <row r="1128" spans="1:6" x14ac:dyDescent="0.2">
      <c r="A1128" s="8" t="s">
        <v>2251</v>
      </c>
      <c r="B1128" s="9">
        <v>17201244433</v>
      </c>
      <c r="C1128" s="10">
        <f ca="1">TODAY()-3538</f>
        <v>40683</v>
      </c>
      <c r="D1128" s="10" t="s">
        <v>2303</v>
      </c>
      <c r="E1128" s="12" t="s">
        <v>3561</v>
      </c>
      <c r="F1128" s="16">
        <v>300000</v>
      </c>
    </row>
    <row r="1129" spans="1:6" x14ac:dyDescent="0.2">
      <c r="A1129" s="8" t="s">
        <v>1273</v>
      </c>
      <c r="B1129" s="9">
        <v>16101227734</v>
      </c>
      <c r="C1129" s="10">
        <f ca="1">TODAY()-3593</f>
        <v>40628</v>
      </c>
      <c r="D1129" s="10" t="s">
        <v>3378</v>
      </c>
      <c r="E1129" s="12" t="s">
        <v>3412</v>
      </c>
      <c r="F1129" s="16">
        <v>365000</v>
      </c>
    </row>
    <row r="1130" spans="1:6" x14ac:dyDescent="0.2">
      <c r="A1130" s="8" t="s">
        <v>1406</v>
      </c>
      <c r="B1130" s="9">
        <v>18804193485</v>
      </c>
      <c r="C1130" s="10">
        <f ca="1">TODAY()-3166</f>
        <v>41055</v>
      </c>
      <c r="D1130" s="10" t="s">
        <v>2297</v>
      </c>
      <c r="E1130" s="12" t="s">
        <v>3422</v>
      </c>
      <c r="F1130" s="16">
        <v>475000</v>
      </c>
    </row>
    <row r="1131" spans="1:6" x14ac:dyDescent="0.2">
      <c r="A1131" s="8" t="s">
        <v>2049</v>
      </c>
      <c r="B1131" s="9">
        <v>27804261738</v>
      </c>
      <c r="C1131" s="10">
        <f ca="1">TODAY()-2994</f>
        <v>41227</v>
      </c>
      <c r="D1131" s="10" t="s">
        <v>3397</v>
      </c>
      <c r="E1131" s="12" t="s">
        <v>3465</v>
      </c>
      <c r="F1131" s="16">
        <v>200000</v>
      </c>
    </row>
    <row r="1132" spans="1:6" x14ac:dyDescent="0.2">
      <c r="A1132" s="8" t="s">
        <v>842</v>
      </c>
      <c r="B1132" s="9">
        <v>16509276521</v>
      </c>
      <c r="C1132" s="10">
        <f ca="1">TODAY()-3639</f>
        <v>40582</v>
      </c>
      <c r="D1132" s="10" t="s">
        <v>2291</v>
      </c>
      <c r="E1132" s="12" t="s">
        <v>3452</v>
      </c>
      <c r="F1132" s="16">
        <v>175000</v>
      </c>
    </row>
    <row r="1133" spans="1:6" x14ac:dyDescent="0.2">
      <c r="A1133" s="8" t="s">
        <v>1067</v>
      </c>
      <c r="B1133" s="9">
        <v>28311047223</v>
      </c>
      <c r="C1133" s="10">
        <f ca="1">TODAY()-2398</f>
        <v>41823</v>
      </c>
      <c r="D1133" s="10" t="s">
        <v>2297</v>
      </c>
      <c r="E1133" s="12" t="s">
        <v>3414</v>
      </c>
      <c r="F1133" s="16">
        <v>480000</v>
      </c>
    </row>
    <row r="1134" spans="1:6" x14ac:dyDescent="0.2">
      <c r="A1134" s="8" t="s">
        <v>2196</v>
      </c>
      <c r="B1134" s="9">
        <v>27301169960</v>
      </c>
      <c r="C1134" s="10">
        <f ca="1">TODAY()-892</f>
        <v>43329</v>
      </c>
      <c r="D1134" s="10" t="s">
        <v>2297</v>
      </c>
      <c r="E1134" s="12" t="s">
        <v>3493</v>
      </c>
      <c r="F1134" s="16">
        <v>430000</v>
      </c>
    </row>
    <row r="1135" spans="1:6" x14ac:dyDescent="0.2">
      <c r="A1135" s="8" t="s">
        <v>585</v>
      </c>
      <c r="B1135" s="9">
        <v>17410235331</v>
      </c>
      <c r="C1135" s="10">
        <f ca="1">TODAY()-4910</f>
        <v>39311</v>
      </c>
      <c r="D1135" s="10" t="s">
        <v>2287</v>
      </c>
      <c r="E1135" s="12" t="s">
        <v>2287</v>
      </c>
      <c r="F1135" s="16">
        <v>230000</v>
      </c>
    </row>
    <row r="1136" spans="1:6" x14ac:dyDescent="0.2">
      <c r="A1136" s="8" t="s">
        <v>2138</v>
      </c>
      <c r="B1136" s="9">
        <v>17506162970</v>
      </c>
      <c r="C1136" s="10">
        <f ca="1">TODAY()-3218</f>
        <v>41003</v>
      </c>
      <c r="D1136" s="10" t="s">
        <v>3401</v>
      </c>
      <c r="E1136" s="12" t="s">
        <v>3471</v>
      </c>
      <c r="F1136" s="16">
        <v>395000</v>
      </c>
    </row>
    <row r="1137" spans="1:6" x14ac:dyDescent="0.2">
      <c r="A1137" s="8" t="s">
        <v>1525</v>
      </c>
      <c r="B1137" s="9">
        <v>28502017797</v>
      </c>
      <c r="C1137" s="10">
        <f ca="1">TODAY()-203</f>
        <v>44018</v>
      </c>
      <c r="D1137" s="10" t="s">
        <v>3389</v>
      </c>
      <c r="E1137" s="12" t="s">
        <v>3497</v>
      </c>
      <c r="F1137" s="16">
        <v>465000</v>
      </c>
    </row>
    <row r="1138" spans="1:6" x14ac:dyDescent="0.2">
      <c r="A1138" s="8" t="s">
        <v>654</v>
      </c>
      <c r="B1138" s="9">
        <v>26203262770</v>
      </c>
      <c r="C1138" s="10">
        <f ca="1">TODAY()-666</f>
        <v>43555</v>
      </c>
      <c r="D1138" s="10" t="s">
        <v>3400</v>
      </c>
      <c r="E1138" s="12" t="s">
        <v>3445</v>
      </c>
      <c r="F1138" s="16">
        <v>445000</v>
      </c>
    </row>
    <row r="1139" spans="1:6" x14ac:dyDescent="0.2">
      <c r="A1139" s="8" t="s">
        <v>1129</v>
      </c>
      <c r="B1139" s="9">
        <v>16803099540</v>
      </c>
      <c r="C1139" s="10">
        <f ca="1">TODAY()-3588</f>
        <v>40633</v>
      </c>
      <c r="D1139" s="10" t="s">
        <v>2285</v>
      </c>
      <c r="E1139" s="12" t="s">
        <v>3480</v>
      </c>
      <c r="F1139" s="16">
        <v>365000</v>
      </c>
    </row>
    <row r="1140" spans="1:6" x14ac:dyDescent="0.2">
      <c r="A1140" s="8" t="s">
        <v>1379</v>
      </c>
      <c r="B1140" s="9">
        <v>18406225756</v>
      </c>
      <c r="C1140" s="10">
        <f ca="1">TODAY()-3794</f>
        <v>40427</v>
      </c>
      <c r="D1140" s="10" t="s">
        <v>3395</v>
      </c>
      <c r="E1140" s="12" t="s">
        <v>3419</v>
      </c>
      <c r="F1140" s="16">
        <v>245000</v>
      </c>
    </row>
    <row r="1141" spans="1:6" x14ac:dyDescent="0.2">
      <c r="A1141" s="8" t="s">
        <v>1325</v>
      </c>
      <c r="B1141" s="9">
        <v>27509162454</v>
      </c>
      <c r="C1141" s="10">
        <f ca="1">TODAY()-2850</f>
        <v>41371</v>
      </c>
      <c r="D1141" s="10" t="s">
        <v>2284</v>
      </c>
      <c r="E1141" s="12" t="s">
        <v>3407</v>
      </c>
      <c r="F1141" s="16">
        <v>475000</v>
      </c>
    </row>
    <row r="1142" spans="1:6" x14ac:dyDescent="0.2">
      <c r="A1142" s="8" t="s">
        <v>2034</v>
      </c>
      <c r="B1142" s="9">
        <v>26911084774</v>
      </c>
      <c r="C1142" s="10">
        <f ca="1">TODAY()-2541</f>
        <v>41680</v>
      </c>
      <c r="D1142" s="10" t="s">
        <v>2297</v>
      </c>
      <c r="E1142" s="12" t="s">
        <v>3436</v>
      </c>
      <c r="F1142" s="16">
        <v>390000</v>
      </c>
    </row>
    <row r="1143" spans="1:6" x14ac:dyDescent="0.2">
      <c r="A1143" s="8" t="s">
        <v>1418</v>
      </c>
      <c r="B1143" s="9">
        <v>18612261681</v>
      </c>
      <c r="C1143" s="10">
        <f ca="1">TODAY()-138</f>
        <v>44083</v>
      </c>
      <c r="D1143" s="10" t="s">
        <v>2301</v>
      </c>
      <c r="E1143" s="12" t="s">
        <v>3441</v>
      </c>
      <c r="F1143" s="16">
        <v>285000</v>
      </c>
    </row>
    <row r="1144" spans="1:6" x14ac:dyDescent="0.2">
      <c r="A1144" s="8" t="s">
        <v>1471</v>
      </c>
      <c r="B1144" s="9">
        <v>16605081867</v>
      </c>
      <c r="C1144" s="10">
        <f ca="1">TODAY()-2624</f>
        <v>41597</v>
      </c>
      <c r="D1144" s="10" t="s">
        <v>3392</v>
      </c>
      <c r="E1144" s="12" t="s">
        <v>3431</v>
      </c>
      <c r="F1144" s="16">
        <v>415000</v>
      </c>
    </row>
    <row r="1145" spans="1:6" x14ac:dyDescent="0.2">
      <c r="A1145" s="8" t="s">
        <v>601</v>
      </c>
      <c r="B1145" s="9">
        <v>17402132198</v>
      </c>
      <c r="C1145" s="10">
        <f ca="1">TODAY()-3981</f>
        <v>40240</v>
      </c>
      <c r="D1145" s="10" t="s">
        <v>3382</v>
      </c>
      <c r="E1145" s="12" t="s">
        <v>3494</v>
      </c>
      <c r="F1145" s="16">
        <v>365000</v>
      </c>
    </row>
    <row r="1146" spans="1:6" x14ac:dyDescent="0.2">
      <c r="A1146" s="8" t="s">
        <v>2088</v>
      </c>
      <c r="B1146" s="9">
        <v>28510245425</v>
      </c>
      <c r="C1146" s="10">
        <f ca="1">TODAY()-4747</f>
        <v>39474</v>
      </c>
      <c r="D1146" s="10" t="s">
        <v>2293</v>
      </c>
      <c r="E1146" s="12" t="s">
        <v>3504</v>
      </c>
      <c r="F1146" s="16">
        <v>295000</v>
      </c>
    </row>
    <row r="1147" spans="1:6" x14ac:dyDescent="0.2">
      <c r="A1147" s="8" t="s">
        <v>1042</v>
      </c>
      <c r="B1147" s="9">
        <v>17008072519</v>
      </c>
      <c r="C1147" s="10">
        <f ca="1">TODAY()-2345</f>
        <v>41876</v>
      </c>
      <c r="D1147" s="10" t="s">
        <v>2285</v>
      </c>
      <c r="E1147" s="12" t="s">
        <v>3421</v>
      </c>
      <c r="F1147" s="16">
        <v>245000</v>
      </c>
    </row>
    <row r="1148" spans="1:6" x14ac:dyDescent="0.2">
      <c r="A1148" s="8" t="s">
        <v>2130</v>
      </c>
      <c r="B1148" s="9">
        <v>26002061572</v>
      </c>
      <c r="C1148" s="10">
        <f ca="1">TODAY()-3487</f>
        <v>40734</v>
      </c>
      <c r="D1148" s="10" t="s">
        <v>2287</v>
      </c>
      <c r="E1148" s="12" t="s">
        <v>3556</v>
      </c>
      <c r="F1148" s="16">
        <v>485000</v>
      </c>
    </row>
    <row r="1149" spans="1:6" x14ac:dyDescent="0.2">
      <c r="A1149" s="8" t="s">
        <v>698</v>
      </c>
      <c r="B1149" s="9">
        <v>27306052338</v>
      </c>
      <c r="C1149" s="10">
        <f ca="1">TODAY()-1683</f>
        <v>42538</v>
      </c>
      <c r="D1149" s="10" t="s">
        <v>3378</v>
      </c>
      <c r="E1149" s="12" t="s">
        <v>3415</v>
      </c>
      <c r="F1149" s="16">
        <v>260000</v>
      </c>
    </row>
    <row r="1150" spans="1:6" x14ac:dyDescent="0.2">
      <c r="A1150" s="8" t="s">
        <v>776</v>
      </c>
      <c r="B1150" s="9">
        <v>27308205860</v>
      </c>
      <c r="C1150" s="10">
        <f ca="1">TODAY()-2782</f>
        <v>41439</v>
      </c>
      <c r="D1150" s="10" t="s">
        <v>3392</v>
      </c>
      <c r="E1150" s="12" t="s">
        <v>3413</v>
      </c>
      <c r="F1150" s="16">
        <v>285000</v>
      </c>
    </row>
    <row r="1151" spans="1:6" x14ac:dyDescent="0.2">
      <c r="A1151" s="8" t="s">
        <v>442</v>
      </c>
      <c r="B1151" s="9">
        <v>16504041619</v>
      </c>
      <c r="C1151" s="10">
        <f ca="1">TODAY()-4169</f>
        <v>40052</v>
      </c>
      <c r="D1151" s="10" t="s">
        <v>3397</v>
      </c>
      <c r="E1151" s="12" t="s">
        <v>3538</v>
      </c>
      <c r="F1151" s="16">
        <v>415000</v>
      </c>
    </row>
    <row r="1152" spans="1:6" x14ac:dyDescent="0.2">
      <c r="A1152" s="8" t="s">
        <v>1491</v>
      </c>
      <c r="B1152" s="9">
        <v>28902229562</v>
      </c>
      <c r="C1152" s="10">
        <f ca="1">TODAY()-2304</f>
        <v>41917</v>
      </c>
      <c r="D1152" s="10" t="s">
        <v>2291</v>
      </c>
      <c r="E1152" s="12" t="s">
        <v>3492</v>
      </c>
      <c r="F1152" s="16">
        <v>435000</v>
      </c>
    </row>
    <row r="1153" spans="1:6" x14ac:dyDescent="0.2">
      <c r="A1153" s="8" t="s">
        <v>1541</v>
      </c>
      <c r="B1153" s="9">
        <v>16105204342</v>
      </c>
      <c r="C1153" s="10">
        <f ca="1">TODAY()-1164</f>
        <v>43057</v>
      </c>
      <c r="D1153" s="10" t="s">
        <v>3390</v>
      </c>
      <c r="E1153" s="12" t="s">
        <v>3390</v>
      </c>
      <c r="F1153" s="16">
        <v>225000</v>
      </c>
    </row>
    <row r="1154" spans="1:6" x14ac:dyDescent="0.2">
      <c r="A1154" s="8" t="s">
        <v>1291</v>
      </c>
      <c r="B1154" s="9">
        <v>28009122467</v>
      </c>
      <c r="C1154" s="10">
        <f ca="1">TODAY()-2504</f>
        <v>41717</v>
      </c>
      <c r="D1154" s="10" t="s">
        <v>3397</v>
      </c>
      <c r="E1154" s="12" t="s">
        <v>3409</v>
      </c>
      <c r="F1154" s="16">
        <v>385000</v>
      </c>
    </row>
    <row r="1155" spans="1:6" x14ac:dyDescent="0.2">
      <c r="A1155" s="8" t="s">
        <v>1006</v>
      </c>
      <c r="B1155" s="9">
        <v>28306147980</v>
      </c>
      <c r="C1155" s="10">
        <f ca="1">TODAY()-290</f>
        <v>43931</v>
      </c>
      <c r="D1155" s="10" t="s">
        <v>2294</v>
      </c>
      <c r="E1155" s="12" t="s">
        <v>3471</v>
      </c>
      <c r="F1155" s="16">
        <v>320000</v>
      </c>
    </row>
    <row r="1156" spans="1:6" x14ac:dyDescent="0.2">
      <c r="A1156" s="8" t="s">
        <v>1902</v>
      </c>
      <c r="B1156" s="9">
        <v>27611088825</v>
      </c>
      <c r="C1156" s="10">
        <f ca="1">TODAY()-3343</f>
        <v>40878</v>
      </c>
      <c r="D1156" s="10" t="s">
        <v>2304</v>
      </c>
      <c r="E1156" s="12" t="s">
        <v>3546</v>
      </c>
      <c r="F1156" s="16">
        <v>400000</v>
      </c>
    </row>
    <row r="1157" spans="1:6" x14ac:dyDescent="0.2">
      <c r="A1157" s="8" t="s">
        <v>1970</v>
      </c>
      <c r="B1157" s="9">
        <v>27803072477</v>
      </c>
      <c r="C1157" s="10">
        <f ca="1">TODAY()-4328</f>
        <v>39893</v>
      </c>
      <c r="D1157" s="10" t="s">
        <v>3386</v>
      </c>
      <c r="E1157" s="12" t="s">
        <v>3509</v>
      </c>
      <c r="F1157" s="16">
        <v>465000</v>
      </c>
    </row>
    <row r="1158" spans="1:6" x14ac:dyDescent="0.2">
      <c r="A1158" s="8" t="s">
        <v>1262</v>
      </c>
      <c r="B1158" s="9">
        <v>16702275742</v>
      </c>
      <c r="C1158" s="10">
        <f ca="1">TODAY()-3489</f>
        <v>40732</v>
      </c>
      <c r="D1158" s="10" t="s">
        <v>3400</v>
      </c>
      <c r="E1158" s="12" t="s">
        <v>3404</v>
      </c>
      <c r="F1158" s="16">
        <v>365000</v>
      </c>
    </row>
    <row r="1159" spans="1:6" x14ac:dyDescent="0.2">
      <c r="A1159" s="8" t="s">
        <v>1571</v>
      </c>
      <c r="B1159" s="9">
        <v>18005057676</v>
      </c>
      <c r="C1159" s="10">
        <f ca="1">TODAY()-734</f>
        <v>43487</v>
      </c>
      <c r="D1159" s="10" t="s">
        <v>2290</v>
      </c>
      <c r="E1159" s="12" t="s">
        <v>3419</v>
      </c>
      <c r="F1159" s="16">
        <v>315000</v>
      </c>
    </row>
    <row r="1160" spans="1:6" x14ac:dyDescent="0.2">
      <c r="A1160" s="8" t="s">
        <v>2041</v>
      </c>
      <c r="B1160" s="9">
        <v>27407077385</v>
      </c>
      <c r="C1160" s="10">
        <f ca="1">TODAY()-3</f>
        <v>44218</v>
      </c>
      <c r="D1160" s="10" t="s">
        <v>3400</v>
      </c>
      <c r="E1160" s="12" t="s">
        <v>3520</v>
      </c>
      <c r="F1160" s="16">
        <v>280000</v>
      </c>
    </row>
    <row r="1161" spans="1:6" x14ac:dyDescent="0.2">
      <c r="A1161" s="8" t="s">
        <v>456</v>
      </c>
      <c r="B1161" s="9">
        <v>27706214742</v>
      </c>
      <c r="C1161" s="10">
        <f ca="1">TODAY()-2490</f>
        <v>41731</v>
      </c>
      <c r="D1161" s="10" t="s">
        <v>3383</v>
      </c>
      <c r="E1161" s="12" t="s">
        <v>3418</v>
      </c>
      <c r="F1161" s="16">
        <v>360000</v>
      </c>
    </row>
    <row r="1162" spans="1:6" x14ac:dyDescent="0.2">
      <c r="A1162" s="8" t="s">
        <v>1585</v>
      </c>
      <c r="B1162" s="9">
        <v>28111211690</v>
      </c>
      <c r="C1162" s="10">
        <f ca="1">TODAY()-3626</f>
        <v>40595</v>
      </c>
      <c r="D1162" s="10" t="s">
        <v>3386</v>
      </c>
      <c r="E1162" s="12" t="s">
        <v>3520</v>
      </c>
      <c r="F1162" s="16">
        <v>350000</v>
      </c>
    </row>
    <row r="1163" spans="1:6" x14ac:dyDescent="0.2">
      <c r="A1163" s="8" t="s">
        <v>1245</v>
      </c>
      <c r="B1163" s="9">
        <v>17011106734</v>
      </c>
      <c r="C1163" s="10">
        <f ca="1">TODAY()-739</f>
        <v>43482</v>
      </c>
      <c r="D1163" s="10" t="s">
        <v>3386</v>
      </c>
      <c r="E1163" s="12" t="s">
        <v>3526</v>
      </c>
      <c r="F1163" s="16">
        <v>495000</v>
      </c>
    </row>
    <row r="1164" spans="1:6" x14ac:dyDescent="0.2">
      <c r="A1164" s="8" t="s">
        <v>2069</v>
      </c>
      <c r="B1164" s="9">
        <v>27105106198</v>
      </c>
      <c r="C1164" s="10">
        <f ca="1">TODAY()-3330</f>
        <v>40891</v>
      </c>
      <c r="D1164" s="10" t="s">
        <v>3382</v>
      </c>
      <c r="E1164" s="12" t="s">
        <v>3534</v>
      </c>
      <c r="F1164" s="16">
        <v>230000</v>
      </c>
    </row>
    <row r="1165" spans="1:6" x14ac:dyDescent="0.2">
      <c r="A1165" s="8" t="s">
        <v>1030</v>
      </c>
      <c r="B1165" s="9">
        <v>17410141495</v>
      </c>
      <c r="C1165" s="10">
        <f ca="1">TODAY()-361</f>
        <v>43860</v>
      </c>
      <c r="D1165" s="10" t="s">
        <v>2284</v>
      </c>
      <c r="E1165" s="12" t="s">
        <v>3461</v>
      </c>
      <c r="F1165" s="16">
        <v>500000</v>
      </c>
    </row>
    <row r="1166" spans="1:6" x14ac:dyDescent="0.2">
      <c r="A1166" s="8" t="s">
        <v>846</v>
      </c>
      <c r="B1166" s="9">
        <v>16505192534</v>
      </c>
      <c r="C1166" s="10">
        <f ca="1">TODAY()-301</f>
        <v>43920</v>
      </c>
      <c r="D1166" s="10" t="s">
        <v>3384</v>
      </c>
      <c r="E1166" s="12" t="s">
        <v>3384</v>
      </c>
      <c r="F1166" s="16">
        <v>365000</v>
      </c>
    </row>
    <row r="1167" spans="1:6" x14ac:dyDescent="0.2">
      <c r="A1167" s="8" t="s">
        <v>1917</v>
      </c>
      <c r="B1167" s="9">
        <v>28007055008</v>
      </c>
      <c r="C1167" s="10">
        <f ca="1">TODAY()-177</f>
        <v>44044</v>
      </c>
      <c r="D1167" s="10" t="s">
        <v>2303</v>
      </c>
      <c r="E1167" s="12" t="s">
        <v>3491</v>
      </c>
      <c r="F1167" s="16">
        <v>375000</v>
      </c>
    </row>
    <row r="1168" spans="1:6" x14ac:dyDescent="0.2">
      <c r="A1168" s="8" t="s">
        <v>2141</v>
      </c>
      <c r="B1168" s="9">
        <v>18711165770</v>
      </c>
      <c r="C1168" s="10">
        <f ca="1">TODAY()-1391</f>
        <v>42830</v>
      </c>
      <c r="D1168" s="10" t="s">
        <v>2301</v>
      </c>
      <c r="E1168" s="12" t="s">
        <v>3476</v>
      </c>
      <c r="F1168" s="16">
        <v>285000</v>
      </c>
    </row>
    <row r="1169" spans="1:6" x14ac:dyDescent="0.2">
      <c r="A1169" s="8" t="s">
        <v>723</v>
      </c>
      <c r="B1169" s="9">
        <v>27310018869</v>
      </c>
      <c r="C1169" s="10">
        <f ca="1">TODAY()-4531</f>
        <v>39690</v>
      </c>
      <c r="D1169" s="10" t="s">
        <v>2298</v>
      </c>
      <c r="E1169" s="12" t="s">
        <v>3549</v>
      </c>
      <c r="F1169" s="16">
        <v>305000</v>
      </c>
    </row>
    <row r="1170" spans="1:6" x14ac:dyDescent="0.2">
      <c r="A1170" s="8" t="s">
        <v>2233</v>
      </c>
      <c r="B1170" s="9">
        <v>18512199040</v>
      </c>
      <c r="C1170" s="10">
        <f ca="1">TODAY()-190</f>
        <v>44031</v>
      </c>
      <c r="D1170" s="10" t="s">
        <v>2302</v>
      </c>
      <c r="E1170" s="12" t="s">
        <v>3427</v>
      </c>
      <c r="F1170" s="16">
        <v>365000</v>
      </c>
    </row>
    <row r="1171" spans="1:6" x14ac:dyDescent="0.2">
      <c r="A1171" s="8" t="s">
        <v>2099</v>
      </c>
      <c r="B1171" s="9">
        <v>16107194394</v>
      </c>
      <c r="C1171" s="10">
        <f ca="1">TODAY()-76</f>
        <v>44145</v>
      </c>
      <c r="D1171" s="10" t="s">
        <v>2285</v>
      </c>
      <c r="E1171" s="12" t="s">
        <v>3486</v>
      </c>
      <c r="F1171" s="16">
        <v>390000</v>
      </c>
    </row>
    <row r="1172" spans="1:6" x14ac:dyDescent="0.2">
      <c r="A1172" s="8" t="s">
        <v>2086</v>
      </c>
      <c r="B1172" s="9">
        <v>16603081666</v>
      </c>
      <c r="C1172" s="10">
        <f ca="1">TODAY()-1447</f>
        <v>42774</v>
      </c>
      <c r="D1172" s="10" t="s">
        <v>2286</v>
      </c>
      <c r="E1172" s="12" t="s">
        <v>3404</v>
      </c>
      <c r="F1172" s="16">
        <v>230000</v>
      </c>
    </row>
    <row r="1173" spans="1:6" x14ac:dyDescent="0.2">
      <c r="A1173" s="8" t="s">
        <v>1530</v>
      </c>
      <c r="B1173" s="9">
        <v>18906091508</v>
      </c>
      <c r="C1173" s="10">
        <f ca="1">TODAY()-1787</f>
        <v>42434</v>
      </c>
      <c r="D1173" s="10" t="s">
        <v>3394</v>
      </c>
      <c r="E1173" s="12" t="s">
        <v>3437</v>
      </c>
      <c r="F1173" s="16">
        <v>285000</v>
      </c>
    </row>
    <row r="1174" spans="1:6" x14ac:dyDescent="0.2">
      <c r="A1174" s="8" t="s">
        <v>1671</v>
      </c>
      <c r="B1174" s="9">
        <v>17105065513</v>
      </c>
      <c r="C1174" s="10">
        <f ca="1">TODAY()-3328</f>
        <v>40893</v>
      </c>
      <c r="D1174" s="10" t="s">
        <v>3394</v>
      </c>
      <c r="E1174" s="12" t="s">
        <v>3529</v>
      </c>
      <c r="F1174" s="16">
        <v>280000</v>
      </c>
    </row>
    <row r="1175" spans="1:6" x14ac:dyDescent="0.2">
      <c r="A1175" s="8" t="s">
        <v>2031</v>
      </c>
      <c r="B1175" s="9">
        <v>17106088120</v>
      </c>
      <c r="C1175" s="10">
        <f ca="1">TODAY()-1291</f>
        <v>42930</v>
      </c>
      <c r="D1175" s="10" t="s">
        <v>2300</v>
      </c>
      <c r="E1175" s="12" t="s">
        <v>3481</v>
      </c>
      <c r="F1175" s="16">
        <v>375000</v>
      </c>
    </row>
    <row r="1176" spans="1:6" x14ac:dyDescent="0.2">
      <c r="A1176" s="8" t="s">
        <v>1876</v>
      </c>
      <c r="B1176" s="9">
        <v>18606184544</v>
      </c>
      <c r="C1176" s="10">
        <f ca="1">TODAY()-4160</f>
        <v>40061</v>
      </c>
      <c r="D1176" s="10" t="s">
        <v>3396</v>
      </c>
      <c r="E1176" s="12" t="s">
        <v>3426</v>
      </c>
      <c r="F1176" s="16">
        <v>375000</v>
      </c>
    </row>
    <row r="1177" spans="1:6" x14ac:dyDescent="0.2">
      <c r="A1177" s="8" t="s">
        <v>1582</v>
      </c>
      <c r="B1177" s="9">
        <v>16109174276</v>
      </c>
      <c r="C1177" s="10">
        <f ca="1">TODAY()-241</f>
        <v>43980</v>
      </c>
      <c r="D1177" s="10" t="s">
        <v>3389</v>
      </c>
      <c r="E1177" s="12" t="s">
        <v>3560</v>
      </c>
      <c r="F1177" s="16">
        <v>330000</v>
      </c>
    </row>
    <row r="1178" spans="1:6" x14ac:dyDescent="0.2">
      <c r="A1178" s="8" t="s">
        <v>2230</v>
      </c>
      <c r="B1178" s="9">
        <v>26602036606</v>
      </c>
      <c r="C1178" s="10">
        <f ca="1">TODAY()-93</f>
        <v>44128</v>
      </c>
      <c r="D1178" s="10" t="s">
        <v>3397</v>
      </c>
      <c r="E1178" s="12" t="s">
        <v>3534</v>
      </c>
      <c r="F1178" s="16">
        <v>430000</v>
      </c>
    </row>
    <row r="1179" spans="1:6" x14ac:dyDescent="0.2">
      <c r="A1179" s="8" t="s">
        <v>1621</v>
      </c>
      <c r="B1179" s="9">
        <v>27008078110</v>
      </c>
      <c r="C1179" s="10">
        <f ca="1">TODAY()-3864</f>
        <v>40357</v>
      </c>
      <c r="D1179" s="10" t="s">
        <v>2292</v>
      </c>
      <c r="E1179" s="12" t="s">
        <v>3478</v>
      </c>
      <c r="F1179" s="16">
        <v>425000</v>
      </c>
    </row>
    <row r="1180" spans="1:6" x14ac:dyDescent="0.2">
      <c r="A1180" s="8" t="s">
        <v>1684</v>
      </c>
      <c r="B1180" s="9">
        <v>17908208872</v>
      </c>
      <c r="C1180" s="10">
        <f ca="1">TODAY()-1598</f>
        <v>42623</v>
      </c>
      <c r="D1180" s="10" t="s">
        <v>2284</v>
      </c>
      <c r="E1180" s="12" t="s">
        <v>3482</v>
      </c>
      <c r="F1180" s="16">
        <v>405000</v>
      </c>
    </row>
    <row r="1181" spans="1:6" x14ac:dyDescent="0.2">
      <c r="A1181" s="8" t="s">
        <v>1934</v>
      </c>
      <c r="B1181" s="9">
        <v>27104022462</v>
      </c>
      <c r="C1181" s="10">
        <f ca="1">TODAY()-239</f>
        <v>43982</v>
      </c>
      <c r="D1181" s="10" t="s">
        <v>2288</v>
      </c>
      <c r="E1181" s="12" t="s">
        <v>2288</v>
      </c>
      <c r="F1181" s="16">
        <v>390000</v>
      </c>
    </row>
    <row r="1182" spans="1:6" x14ac:dyDescent="0.2">
      <c r="A1182" s="8" t="s">
        <v>1428</v>
      </c>
      <c r="B1182" s="9">
        <v>28509127224</v>
      </c>
      <c r="C1182" s="10">
        <f ca="1">TODAY()-1244</f>
        <v>42977</v>
      </c>
      <c r="D1182" s="10" t="s">
        <v>3399</v>
      </c>
      <c r="E1182" s="12" t="s">
        <v>3433</v>
      </c>
      <c r="F1182" s="16">
        <v>215000</v>
      </c>
    </row>
    <row r="1183" spans="1:6" x14ac:dyDescent="0.2">
      <c r="A1183" s="8" t="s">
        <v>573</v>
      </c>
      <c r="B1183" s="9">
        <v>28004226607</v>
      </c>
      <c r="C1183" s="10">
        <f ca="1">TODAY()-1005</f>
        <v>43216</v>
      </c>
      <c r="D1183" s="10" t="s">
        <v>2296</v>
      </c>
      <c r="E1183" s="12" t="s">
        <v>3511</v>
      </c>
      <c r="F1183" s="16">
        <v>465000</v>
      </c>
    </row>
    <row r="1184" spans="1:6" x14ac:dyDescent="0.2">
      <c r="A1184" s="8" t="s">
        <v>2145</v>
      </c>
      <c r="B1184" s="9">
        <v>26309272725</v>
      </c>
      <c r="C1184" s="10">
        <f ca="1">TODAY()-3594</f>
        <v>40627</v>
      </c>
      <c r="D1184" s="10" t="s">
        <v>2289</v>
      </c>
      <c r="E1184" s="12" t="s">
        <v>3422</v>
      </c>
      <c r="F1184" s="16">
        <v>360000</v>
      </c>
    </row>
    <row r="1185" spans="1:6" x14ac:dyDescent="0.2">
      <c r="A1185" s="8" t="s">
        <v>1181</v>
      </c>
      <c r="B1185" s="9">
        <v>18206075399</v>
      </c>
      <c r="C1185" s="10">
        <f ca="1">TODAY()-4469</f>
        <v>39752</v>
      </c>
      <c r="D1185" s="10" t="s">
        <v>3401</v>
      </c>
      <c r="E1185" s="12" t="s">
        <v>3436</v>
      </c>
      <c r="F1185" s="16">
        <v>415000</v>
      </c>
    </row>
    <row r="1186" spans="1:6" x14ac:dyDescent="0.2">
      <c r="A1186" s="8" t="s">
        <v>747</v>
      </c>
      <c r="B1186" s="9">
        <v>16401156023</v>
      </c>
      <c r="C1186" s="10">
        <f ca="1">TODAY()-4697</f>
        <v>39524</v>
      </c>
      <c r="D1186" s="10" t="s">
        <v>3380</v>
      </c>
      <c r="E1186" s="12" t="s">
        <v>3512</v>
      </c>
      <c r="F1186" s="16">
        <v>180000</v>
      </c>
    </row>
    <row r="1187" spans="1:6" x14ac:dyDescent="0.2">
      <c r="A1187" s="8" t="s">
        <v>1358</v>
      </c>
      <c r="B1187" s="9">
        <v>16202181894</v>
      </c>
      <c r="C1187" s="10">
        <f ca="1">TODAY()-3999</f>
        <v>40222</v>
      </c>
      <c r="D1187" s="10" t="s">
        <v>3378</v>
      </c>
      <c r="E1187" s="12" t="s">
        <v>3541</v>
      </c>
      <c r="F1187" s="16">
        <v>340000</v>
      </c>
    </row>
    <row r="1188" spans="1:6" x14ac:dyDescent="0.2">
      <c r="A1188" s="8" t="s">
        <v>1143</v>
      </c>
      <c r="B1188" s="9">
        <v>16810232601</v>
      </c>
      <c r="C1188" s="10">
        <f ca="1">TODAY()-873</f>
        <v>43348</v>
      </c>
      <c r="D1188" s="10" t="s">
        <v>2291</v>
      </c>
      <c r="E1188" s="12" t="s">
        <v>3429</v>
      </c>
      <c r="F1188" s="16">
        <v>290000</v>
      </c>
    </row>
    <row r="1189" spans="1:6" x14ac:dyDescent="0.2">
      <c r="A1189" s="8" t="s">
        <v>1627</v>
      </c>
      <c r="B1189" s="9">
        <v>17005221750</v>
      </c>
      <c r="C1189" s="10">
        <f ca="1">TODAY()-4845</f>
        <v>39376</v>
      </c>
      <c r="D1189" s="10" t="s">
        <v>3396</v>
      </c>
      <c r="E1189" s="12" t="s">
        <v>3456</v>
      </c>
      <c r="F1189" s="16">
        <v>445000</v>
      </c>
    </row>
    <row r="1190" spans="1:6" x14ac:dyDescent="0.2">
      <c r="A1190" s="8" t="s">
        <v>952</v>
      </c>
      <c r="B1190" s="9">
        <v>17802135913</v>
      </c>
      <c r="C1190" s="10">
        <f ca="1">TODAY()-4052</f>
        <v>40169</v>
      </c>
      <c r="D1190" s="10" t="s">
        <v>3390</v>
      </c>
      <c r="E1190" s="12" t="s">
        <v>3537</v>
      </c>
      <c r="F1190" s="16">
        <v>265000</v>
      </c>
    </row>
    <row r="1191" spans="1:6" x14ac:dyDescent="0.2">
      <c r="A1191" s="8" t="s">
        <v>1826</v>
      </c>
      <c r="B1191" s="9">
        <v>28905107704</v>
      </c>
      <c r="C1191" s="10">
        <f ca="1">TODAY()-3580</f>
        <v>40641</v>
      </c>
      <c r="D1191" s="10" t="s">
        <v>2291</v>
      </c>
      <c r="E1191" s="12" t="s">
        <v>3446</v>
      </c>
      <c r="F1191" s="16">
        <v>380000</v>
      </c>
    </row>
    <row r="1192" spans="1:6" x14ac:dyDescent="0.2">
      <c r="A1192" s="8" t="s">
        <v>707</v>
      </c>
      <c r="B1192" s="9">
        <v>17802254028</v>
      </c>
      <c r="C1192" s="10">
        <f ca="1">TODAY()-633</f>
        <v>43588</v>
      </c>
      <c r="D1192" s="10" t="s">
        <v>2299</v>
      </c>
      <c r="E1192" s="12" t="s">
        <v>3536</v>
      </c>
      <c r="F1192" s="16">
        <v>275000</v>
      </c>
    </row>
    <row r="1193" spans="1:6" x14ac:dyDescent="0.2">
      <c r="A1193" s="8" t="s">
        <v>1453</v>
      </c>
      <c r="B1193" s="9">
        <v>28606157644</v>
      </c>
      <c r="C1193" s="10">
        <f ca="1">TODAY()-3495</f>
        <v>40726</v>
      </c>
      <c r="D1193" s="10" t="s">
        <v>3392</v>
      </c>
      <c r="E1193" s="12" t="s">
        <v>3496</v>
      </c>
      <c r="F1193" s="16">
        <v>335000</v>
      </c>
    </row>
    <row r="1194" spans="1:6" x14ac:dyDescent="0.2">
      <c r="A1194" s="8" t="s">
        <v>1078</v>
      </c>
      <c r="B1194" s="9">
        <v>17708175367</v>
      </c>
      <c r="C1194" s="10">
        <f ca="1">TODAY()-4596</f>
        <v>39625</v>
      </c>
      <c r="D1194" s="10" t="s">
        <v>2291</v>
      </c>
      <c r="E1194" s="12" t="s">
        <v>3492</v>
      </c>
      <c r="F1194" s="16">
        <v>380000</v>
      </c>
    </row>
    <row r="1195" spans="1:6" x14ac:dyDescent="0.2">
      <c r="A1195" s="8" t="s">
        <v>2022</v>
      </c>
      <c r="B1195" s="9">
        <v>27705025428</v>
      </c>
      <c r="C1195" s="10">
        <f ca="1">TODAY()-4597</f>
        <v>39624</v>
      </c>
      <c r="D1195" s="10" t="s">
        <v>2287</v>
      </c>
      <c r="E1195" s="12" t="s">
        <v>3409</v>
      </c>
      <c r="F1195" s="16">
        <v>260000</v>
      </c>
    </row>
    <row r="1196" spans="1:6" x14ac:dyDescent="0.2">
      <c r="A1196" s="8" t="s">
        <v>1096</v>
      </c>
      <c r="B1196" s="9">
        <v>26810087890</v>
      </c>
      <c r="C1196" s="10">
        <f ca="1">TODAY()-410</f>
        <v>43811</v>
      </c>
      <c r="D1196" s="10" t="s">
        <v>2302</v>
      </c>
      <c r="E1196" s="12" t="s">
        <v>2302</v>
      </c>
      <c r="F1196" s="16">
        <v>290000</v>
      </c>
    </row>
    <row r="1197" spans="1:6" x14ac:dyDescent="0.2">
      <c r="A1197" s="8" t="s">
        <v>2017</v>
      </c>
      <c r="B1197" s="9">
        <v>16109262235</v>
      </c>
      <c r="C1197" s="10">
        <f ca="1">TODAY()-435</f>
        <v>43786</v>
      </c>
      <c r="D1197" s="10" t="s">
        <v>2290</v>
      </c>
      <c r="E1197" s="12" t="s">
        <v>3496</v>
      </c>
      <c r="F1197" s="16">
        <v>220000</v>
      </c>
    </row>
    <row r="1198" spans="1:6" x14ac:dyDescent="0.2">
      <c r="A1198" s="8" t="s">
        <v>2114</v>
      </c>
      <c r="B1198" s="9">
        <v>27101214121</v>
      </c>
      <c r="C1198" s="10">
        <f ca="1">TODAY()-4083</f>
        <v>40138</v>
      </c>
      <c r="D1198" s="10" t="s">
        <v>3382</v>
      </c>
      <c r="E1198" s="12" t="s">
        <v>3550</v>
      </c>
      <c r="F1198" s="16">
        <v>305000</v>
      </c>
    </row>
    <row r="1199" spans="1:6" x14ac:dyDescent="0.2">
      <c r="A1199" s="8" t="s">
        <v>1088</v>
      </c>
      <c r="B1199" s="9">
        <v>18405095868</v>
      </c>
      <c r="C1199" s="10">
        <f ca="1">TODAY()-2990</f>
        <v>41231</v>
      </c>
      <c r="D1199" s="10" t="s">
        <v>3391</v>
      </c>
      <c r="E1199" s="12" t="s">
        <v>3516</v>
      </c>
      <c r="F1199" s="16">
        <v>235000</v>
      </c>
    </row>
    <row r="1200" spans="1:6" x14ac:dyDescent="0.2">
      <c r="A1200" s="8" t="s">
        <v>1003</v>
      </c>
      <c r="B1200" s="9">
        <v>18009036387</v>
      </c>
      <c r="C1200" s="10">
        <f ca="1">TODAY()-3703</f>
        <v>40518</v>
      </c>
      <c r="D1200" s="10" t="s">
        <v>2287</v>
      </c>
      <c r="E1200" s="12" t="s">
        <v>3563</v>
      </c>
      <c r="F1200" s="16">
        <v>240000</v>
      </c>
    </row>
    <row r="1201" spans="1:6" x14ac:dyDescent="0.2">
      <c r="A1201" s="8" t="s">
        <v>1355</v>
      </c>
      <c r="B1201" s="9">
        <v>26906012046</v>
      </c>
      <c r="C1201" s="10">
        <f ca="1">TODAY()-91</f>
        <v>44130</v>
      </c>
      <c r="D1201" s="10" t="s">
        <v>2302</v>
      </c>
      <c r="E1201" s="12" t="s">
        <v>3434</v>
      </c>
      <c r="F1201" s="16">
        <v>395000</v>
      </c>
    </row>
    <row r="1202" spans="1:6" x14ac:dyDescent="0.2">
      <c r="A1202" s="8" t="s">
        <v>2172</v>
      </c>
      <c r="B1202" s="9">
        <v>17805269879</v>
      </c>
      <c r="C1202" s="10">
        <f ca="1">TODAY()-814</f>
        <v>43407</v>
      </c>
      <c r="D1202" s="10" t="s">
        <v>3397</v>
      </c>
      <c r="E1202" s="12" t="s">
        <v>3432</v>
      </c>
      <c r="F1202" s="16">
        <v>310000</v>
      </c>
    </row>
    <row r="1203" spans="1:6" x14ac:dyDescent="0.2">
      <c r="A1203" s="8" t="s">
        <v>1062</v>
      </c>
      <c r="B1203" s="9">
        <v>27510046126</v>
      </c>
      <c r="C1203" s="10">
        <f ca="1">TODAY()-2491</f>
        <v>41730</v>
      </c>
      <c r="D1203" s="10" t="s">
        <v>2288</v>
      </c>
      <c r="E1203" s="12" t="s">
        <v>3539</v>
      </c>
      <c r="F1203" s="16">
        <v>240000</v>
      </c>
    </row>
    <row r="1204" spans="1:6" x14ac:dyDescent="0.2">
      <c r="A1204" s="8" t="s">
        <v>701</v>
      </c>
      <c r="B1204" s="9">
        <v>27401115925</v>
      </c>
      <c r="C1204" s="10">
        <f ca="1">TODAY()-2103</f>
        <v>42118</v>
      </c>
      <c r="D1204" s="10" t="s">
        <v>3394</v>
      </c>
      <c r="E1204" s="12" t="s">
        <v>3394</v>
      </c>
      <c r="F1204" s="16">
        <v>345000</v>
      </c>
    </row>
    <row r="1205" spans="1:6" x14ac:dyDescent="0.2">
      <c r="A1205" s="8" t="s">
        <v>457</v>
      </c>
      <c r="B1205" s="9">
        <v>18007158327</v>
      </c>
      <c r="C1205" s="10">
        <f ca="1">TODAY()-600</f>
        <v>43621</v>
      </c>
      <c r="D1205" s="10" t="s">
        <v>3396</v>
      </c>
      <c r="E1205" s="12" t="s">
        <v>3457</v>
      </c>
      <c r="F1205" s="16">
        <v>500000</v>
      </c>
    </row>
    <row r="1206" spans="1:6" x14ac:dyDescent="0.2">
      <c r="A1206" s="8" t="s">
        <v>1147</v>
      </c>
      <c r="B1206" s="9">
        <v>19008255320</v>
      </c>
      <c r="C1206" s="10">
        <f ca="1">TODAY()-4924</f>
        <v>39297</v>
      </c>
      <c r="D1206" s="10" t="s">
        <v>3380</v>
      </c>
      <c r="E1206" s="12" t="s">
        <v>3415</v>
      </c>
      <c r="F1206" s="16">
        <v>305000</v>
      </c>
    </row>
    <row r="1207" spans="1:6" x14ac:dyDescent="0.2">
      <c r="A1207" s="8" t="s">
        <v>2166</v>
      </c>
      <c r="B1207" s="9">
        <v>16609226889</v>
      </c>
      <c r="C1207" s="10">
        <f ca="1">TODAY()-2013</f>
        <v>42208</v>
      </c>
      <c r="D1207" s="10" t="s">
        <v>3394</v>
      </c>
      <c r="E1207" s="12" t="s">
        <v>3446</v>
      </c>
      <c r="F1207" s="16">
        <v>315000</v>
      </c>
    </row>
    <row r="1208" spans="1:6" x14ac:dyDescent="0.2">
      <c r="A1208" s="8" t="s">
        <v>1494</v>
      </c>
      <c r="B1208" s="9">
        <v>18407195700</v>
      </c>
      <c r="C1208" s="10">
        <f ca="1">TODAY()-2610</f>
        <v>41611</v>
      </c>
      <c r="D1208" s="10" t="s">
        <v>2294</v>
      </c>
      <c r="E1208" s="12" t="s">
        <v>3517</v>
      </c>
      <c r="F1208" s="16">
        <v>280000</v>
      </c>
    </row>
    <row r="1209" spans="1:6" x14ac:dyDescent="0.2">
      <c r="A1209" s="8" t="s">
        <v>2074</v>
      </c>
      <c r="B1209" s="9">
        <v>18710014512</v>
      </c>
      <c r="C1209" s="10">
        <f ca="1">TODAY()-2206</f>
        <v>42015</v>
      </c>
      <c r="D1209" s="10" t="s">
        <v>2299</v>
      </c>
      <c r="E1209" s="12" t="s">
        <v>3549</v>
      </c>
      <c r="F1209" s="16">
        <v>410000</v>
      </c>
    </row>
    <row r="1210" spans="1:6" x14ac:dyDescent="0.2">
      <c r="A1210" s="8" t="s">
        <v>1909</v>
      </c>
      <c r="B1210" s="9">
        <v>27412156935</v>
      </c>
      <c r="C1210" s="10">
        <f ca="1">TODAY()-4189</f>
        <v>40032</v>
      </c>
      <c r="D1210" s="10" t="s">
        <v>2285</v>
      </c>
      <c r="E1210" s="12" t="s">
        <v>3457</v>
      </c>
      <c r="F1210" s="16">
        <v>395000</v>
      </c>
    </row>
    <row r="1211" spans="1:6" x14ac:dyDescent="0.2">
      <c r="A1211" s="8" t="s">
        <v>1880</v>
      </c>
      <c r="B1211" s="9">
        <v>18110235704</v>
      </c>
      <c r="C1211" s="10">
        <f ca="1">TODAY()-3109</f>
        <v>41112</v>
      </c>
      <c r="D1211" s="10" t="s">
        <v>3385</v>
      </c>
      <c r="E1211" s="12" t="s">
        <v>3415</v>
      </c>
      <c r="F1211" s="16">
        <v>185000</v>
      </c>
    </row>
    <row r="1212" spans="1:6" x14ac:dyDescent="0.2">
      <c r="A1212" s="8" t="s">
        <v>1299</v>
      </c>
      <c r="B1212" s="9">
        <v>28811135444</v>
      </c>
      <c r="C1212" s="10">
        <f ca="1">TODAY()-1419</f>
        <v>42802</v>
      </c>
      <c r="D1212" s="10" t="s">
        <v>3378</v>
      </c>
      <c r="E1212" s="12" t="s">
        <v>3457</v>
      </c>
      <c r="F1212" s="16">
        <v>390000</v>
      </c>
    </row>
    <row r="1213" spans="1:6" x14ac:dyDescent="0.2">
      <c r="A1213" s="8" t="s">
        <v>1763</v>
      </c>
      <c r="B1213" s="9">
        <v>26201163367</v>
      </c>
      <c r="C1213" s="10">
        <f ca="1">TODAY()-4217</f>
        <v>40004</v>
      </c>
      <c r="D1213" s="10" t="s">
        <v>3379</v>
      </c>
      <c r="E1213" s="12" t="s">
        <v>3442</v>
      </c>
      <c r="F1213" s="16">
        <v>310000</v>
      </c>
    </row>
    <row r="1214" spans="1:6" x14ac:dyDescent="0.2">
      <c r="A1214" s="8" t="s">
        <v>854</v>
      </c>
      <c r="B1214" s="9">
        <v>26511103657</v>
      </c>
      <c r="C1214" s="10">
        <f ca="1">TODAY()-1384</f>
        <v>42837</v>
      </c>
      <c r="D1214" s="10" t="s">
        <v>2284</v>
      </c>
      <c r="E1214" s="12" t="s">
        <v>2284</v>
      </c>
      <c r="F1214" s="16">
        <v>445000</v>
      </c>
    </row>
    <row r="1215" spans="1:6" x14ac:dyDescent="0.2">
      <c r="A1215" s="8" t="s">
        <v>706</v>
      </c>
      <c r="B1215" s="9">
        <v>16010192354</v>
      </c>
      <c r="C1215" s="10">
        <f ca="1">TODAY()-3375</f>
        <v>40846</v>
      </c>
      <c r="D1215" s="10" t="s">
        <v>3378</v>
      </c>
      <c r="E1215" s="12" t="s">
        <v>3444</v>
      </c>
      <c r="F1215" s="16">
        <v>335000</v>
      </c>
    </row>
    <row r="1216" spans="1:6" x14ac:dyDescent="0.2">
      <c r="A1216" s="8" t="s">
        <v>1930</v>
      </c>
      <c r="B1216" s="9">
        <v>17110155113</v>
      </c>
      <c r="C1216" s="10">
        <f ca="1">TODAY()-3676</f>
        <v>40545</v>
      </c>
      <c r="D1216" s="10" t="s">
        <v>2300</v>
      </c>
      <c r="E1216" s="12" t="s">
        <v>3446</v>
      </c>
      <c r="F1216" s="16">
        <v>420000</v>
      </c>
    </row>
    <row r="1217" spans="1:6" x14ac:dyDescent="0.2">
      <c r="A1217" s="8" t="s">
        <v>2085</v>
      </c>
      <c r="B1217" s="9">
        <v>17405256014</v>
      </c>
      <c r="C1217" s="10">
        <f ca="1">TODAY()-1932</f>
        <v>42289</v>
      </c>
      <c r="D1217" s="10" t="s">
        <v>3396</v>
      </c>
      <c r="E1217" s="12" t="s">
        <v>3531</v>
      </c>
      <c r="F1217" s="16">
        <v>375000</v>
      </c>
    </row>
    <row r="1218" spans="1:6" x14ac:dyDescent="0.2">
      <c r="A1218" s="8" t="s">
        <v>1458</v>
      </c>
      <c r="B1218" s="9">
        <v>26907194892</v>
      </c>
      <c r="C1218" s="10">
        <f ca="1">TODAY()-1837</f>
        <v>42384</v>
      </c>
      <c r="D1218" s="10" t="s">
        <v>3382</v>
      </c>
      <c r="E1218" s="12" t="s">
        <v>3483</v>
      </c>
      <c r="F1218" s="16">
        <v>465000</v>
      </c>
    </row>
    <row r="1219" spans="1:6" x14ac:dyDescent="0.2">
      <c r="A1219" s="8" t="s">
        <v>1488</v>
      </c>
      <c r="B1219" s="9">
        <v>18509252239</v>
      </c>
      <c r="C1219" s="10">
        <f ca="1">TODAY()-1952</f>
        <v>42269</v>
      </c>
      <c r="D1219" s="10" t="s">
        <v>3389</v>
      </c>
      <c r="E1219" s="12" t="s">
        <v>3475</v>
      </c>
      <c r="F1219" s="16">
        <v>360000</v>
      </c>
    </row>
    <row r="1220" spans="1:6" x14ac:dyDescent="0.2">
      <c r="A1220" s="8" t="s">
        <v>501</v>
      </c>
      <c r="B1220" s="9">
        <v>17210248782</v>
      </c>
      <c r="C1220" s="10">
        <f ca="1">TODAY()-3393</f>
        <v>40828</v>
      </c>
      <c r="D1220" s="10" t="s">
        <v>2284</v>
      </c>
      <c r="E1220" s="12" t="s">
        <v>3564</v>
      </c>
      <c r="F1220" s="16">
        <v>275000</v>
      </c>
    </row>
    <row r="1221" spans="1:6" x14ac:dyDescent="0.2">
      <c r="A1221" s="8" t="s">
        <v>1877</v>
      </c>
      <c r="B1221" s="9">
        <v>17208202498</v>
      </c>
      <c r="C1221" s="10">
        <f ca="1">TODAY()-734</f>
        <v>43487</v>
      </c>
      <c r="D1221" s="10" t="s">
        <v>2284</v>
      </c>
      <c r="E1221" s="12" t="s">
        <v>3442</v>
      </c>
      <c r="F1221" s="16">
        <v>320000</v>
      </c>
    </row>
    <row r="1222" spans="1:6" x14ac:dyDescent="0.2">
      <c r="A1222" s="8" t="s">
        <v>1559</v>
      </c>
      <c r="B1222" s="9">
        <v>16008251835</v>
      </c>
      <c r="C1222" s="10">
        <f ca="1">TODAY()-3189</f>
        <v>41032</v>
      </c>
      <c r="D1222" s="10" t="s">
        <v>2284</v>
      </c>
      <c r="E1222" s="12" t="s">
        <v>3470</v>
      </c>
      <c r="F1222" s="16">
        <v>290000</v>
      </c>
    </row>
    <row r="1223" spans="1:6" x14ac:dyDescent="0.2">
      <c r="A1223" s="8" t="s">
        <v>1373</v>
      </c>
      <c r="B1223" s="9">
        <v>17303142117</v>
      </c>
      <c r="C1223" s="10">
        <f ca="1">TODAY()-4422</f>
        <v>39799</v>
      </c>
      <c r="D1223" s="10" t="s">
        <v>2296</v>
      </c>
      <c r="E1223" s="12" t="s">
        <v>3430</v>
      </c>
      <c r="F1223" s="16">
        <v>320000</v>
      </c>
    </row>
    <row r="1224" spans="1:6" x14ac:dyDescent="0.2">
      <c r="A1224" s="8" t="s">
        <v>488</v>
      </c>
      <c r="B1224" s="9">
        <v>16410089490</v>
      </c>
      <c r="C1224" s="10">
        <f ca="1">TODAY()-1443</f>
        <v>42778</v>
      </c>
      <c r="D1224" s="10" t="s">
        <v>3402</v>
      </c>
      <c r="E1224" s="12" t="s">
        <v>3422</v>
      </c>
      <c r="F1224" s="16">
        <v>450000</v>
      </c>
    </row>
    <row r="1225" spans="1:6" x14ac:dyDescent="0.2">
      <c r="A1225" s="8" t="s">
        <v>1976</v>
      </c>
      <c r="B1225" s="9">
        <v>26009047852</v>
      </c>
      <c r="C1225" s="10">
        <f ca="1">TODAY()-2503</f>
        <v>41718</v>
      </c>
      <c r="D1225" s="10" t="s">
        <v>2302</v>
      </c>
      <c r="E1225" s="12" t="s">
        <v>2302</v>
      </c>
      <c r="F1225" s="16">
        <v>355000</v>
      </c>
    </row>
    <row r="1226" spans="1:6" x14ac:dyDescent="0.2">
      <c r="A1226" s="8" t="s">
        <v>1463</v>
      </c>
      <c r="B1226" s="9">
        <v>28403266321</v>
      </c>
      <c r="C1226" s="10">
        <f ca="1">TODAY()-3647</f>
        <v>40574</v>
      </c>
      <c r="D1226" s="10" t="s">
        <v>3385</v>
      </c>
      <c r="E1226" s="12" t="s">
        <v>3385</v>
      </c>
      <c r="F1226" s="16">
        <v>420000</v>
      </c>
    </row>
    <row r="1227" spans="1:6" x14ac:dyDescent="0.2">
      <c r="A1227" s="8" t="s">
        <v>770</v>
      </c>
      <c r="B1227" s="9">
        <v>26809062674</v>
      </c>
      <c r="C1227" s="10">
        <f ca="1">TODAY()-3119</f>
        <v>41102</v>
      </c>
      <c r="D1227" s="10" t="s">
        <v>2303</v>
      </c>
      <c r="E1227" s="12" t="s">
        <v>3461</v>
      </c>
      <c r="F1227" s="16">
        <v>440000</v>
      </c>
    </row>
    <row r="1228" spans="1:6" x14ac:dyDescent="0.2">
      <c r="A1228" s="8" t="s">
        <v>1924</v>
      </c>
      <c r="B1228" s="9">
        <v>16409027288</v>
      </c>
      <c r="C1228" s="10">
        <f ca="1">TODAY()-2777</f>
        <v>41444</v>
      </c>
      <c r="D1228" s="10" t="s">
        <v>3393</v>
      </c>
      <c r="E1228" s="12" t="s">
        <v>3474</v>
      </c>
      <c r="F1228" s="16">
        <v>340000</v>
      </c>
    </row>
    <row r="1229" spans="1:6" x14ac:dyDescent="0.2">
      <c r="A1229" s="8" t="s">
        <v>1148</v>
      </c>
      <c r="B1229" s="9">
        <v>17808282739</v>
      </c>
      <c r="C1229" s="10">
        <f ca="1">TODAY()-1256</f>
        <v>42965</v>
      </c>
      <c r="D1229" s="10" t="s">
        <v>3399</v>
      </c>
      <c r="E1229" s="12" t="s">
        <v>3474</v>
      </c>
      <c r="F1229" s="16">
        <v>180000</v>
      </c>
    </row>
    <row r="1230" spans="1:6" x14ac:dyDescent="0.2">
      <c r="A1230" s="8" t="s">
        <v>1788</v>
      </c>
      <c r="B1230" s="9">
        <v>26402244983</v>
      </c>
      <c r="C1230" s="10">
        <f ca="1">TODAY()-1652</f>
        <v>42569</v>
      </c>
      <c r="D1230" s="10" t="s">
        <v>3386</v>
      </c>
      <c r="E1230" s="12" t="s">
        <v>3404</v>
      </c>
      <c r="F1230" s="16">
        <v>355000</v>
      </c>
    </row>
    <row r="1231" spans="1:6" x14ac:dyDescent="0.2">
      <c r="A1231" s="8" t="s">
        <v>705</v>
      </c>
      <c r="B1231" s="9">
        <v>17305094118</v>
      </c>
      <c r="C1231" s="10">
        <f ca="1">TODAY()-428</f>
        <v>43793</v>
      </c>
      <c r="D1231" s="10" t="s">
        <v>3380</v>
      </c>
      <c r="E1231" s="12" t="s">
        <v>3455</v>
      </c>
      <c r="F1231" s="16">
        <v>385000</v>
      </c>
    </row>
    <row r="1232" spans="1:6" x14ac:dyDescent="0.2">
      <c r="A1232" s="8" t="s">
        <v>764</v>
      </c>
      <c r="B1232" s="9">
        <v>26510271862</v>
      </c>
      <c r="C1232" s="10">
        <f ca="1">TODAY()-1263</f>
        <v>42958</v>
      </c>
      <c r="D1232" s="10" t="s">
        <v>2290</v>
      </c>
      <c r="E1232" s="12" t="s">
        <v>3524</v>
      </c>
      <c r="F1232" s="16">
        <v>220000</v>
      </c>
    </row>
    <row r="1233" spans="1:6" x14ac:dyDescent="0.2">
      <c r="A1233" s="8" t="s">
        <v>1141</v>
      </c>
      <c r="B1233" s="9">
        <v>18505215659</v>
      </c>
      <c r="C1233" s="10">
        <f ca="1">TODAY()-3087</f>
        <v>41134</v>
      </c>
      <c r="D1233" s="10" t="s">
        <v>3379</v>
      </c>
      <c r="E1233" s="12" t="s">
        <v>3465</v>
      </c>
      <c r="F1233" s="16">
        <v>300000</v>
      </c>
    </row>
    <row r="1234" spans="1:6" x14ac:dyDescent="0.2">
      <c r="A1234" s="8" t="s">
        <v>1214</v>
      </c>
      <c r="B1234" s="9">
        <v>17705288249</v>
      </c>
      <c r="C1234" s="10">
        <f ca="1">TODAY()-156</f>
        <v>44065</v>
      </c>
      <c r="D1234" s="10" t="s">
        <v>3402</v>
      </c>
      <c r="E1234" s="12" t="s">
        <v>3494</v>
      </c>
      <c r="F1234" s="16">
        <v>360000</v>
      </c>
    </row>
    <row r="1235" spans="1:6" x14ac:dyDescent="0.2">
      <c r="A1235" s="8" t="s">
        <v>2111</v>
      </c>
      <c r="B1235" s="9">
        <v>28103196913</v>
      </c>
      <c r="C1235" s="10">
        <f ca="1">TODAY()-175</f>
        <v>44046</v>
      </c>
      <c r="D1235" s="10" t="s">
        <v>3391</v>
      </c>
      <c r="E1235" s="12" t="s">
        <v>3515</v>
      </c>
      <c r="F1235" s="16">
        <v>410000</v>
      </c>
    </row>
    <row r="1236" spans="1:6" x14ac:dyDescent="0.2">
      <c r="A1236" s="8" t="s">
        <v>921</v>
      </c>
      <c r="B1236" s="9">
        <v>27712016296</v>
      </c>
      <c r="C1236" s="10">
        <f ca="1">TODAY()-786</f>
        <v>43435</v>
      </c>
      <c r="D1236" s="10" t="s">
        <v>3399</v>
      </c>
      <c r="E1236" s="12" t="s">
        <v>3448</v>
      </c>
      <c r="F1236" s="16">
        <v>400000</v>
      </c>
    </row>
    <row r="1237" spans="1:6" x14ac:dyDescent="0.2">
      <c r="A1237" s="8" t="s">
        <v>1431</v>
      </c>
      <c r="B1237" s="9">
        <v>16212138484</v>
      </c>
      <c r="C1237" s="10">
        <f ca="1">TODAY()-3531</f>
        <v>40690</v>
      </c>
      <c r="D1237" s="10" t="s">
        <v>2300</v>
      </c>
      <c r="E1237" s="12" t="s">
        <v>3558</v>
      </c>
      <c r="F1237" s="16">
        <v>410000</v>
      </c>
    </row>
    <row r="1238" spans="1:6" x14ac:dyDescent="0.2">
      <c r="A1238" s="8" t="s">
        <v>1033</v>
      </c>
      <c r="B1238" s="9">
        <v>27812049418</v>
      </c>
      <c r="C1238" s="10">
        <f ca="1">TODAY()-3144</f>
        <v>41077</v>
      </c>
      <c r="D1238" s="10" t="s">
        <v>3378</v>
      </c>
      <c r="E1238" s="12" t="s">
        <v>3475</v>
      </c>
      <c r="F1238" s="16">
        <v>310000</v>
      </c>
    </row>
    <row r="1239" spans="1:6" x14ac:dyDescent="0.2">
      <c r="A1239" s="8" t="s">
        <v>597</v>
      </c>
      <c r="B1239" s="9">
        <v>17808117320</v>
      </c>
      <c r="C1239" s="10">
        <f ca="1">TODAY()-3722</f>
        <v>40499</v>
      </c>
      <c r="D1239" s="10" t="s">
        <v>3384</v>
      </c>
      <c r="E1239" s="12" t="s">
        <v>3437</v>
      </c>
      <c r="F1239" s="16">
        <v>485000</v>
      </c>
    </row>
    <row r="1240" spans="1:6" x14ac:dyDescent="0.2">
      <c r="A1240" s="8" t="s">
        <v>1371</v>
      </c>
      <c r="B1240" s="9">
        <v>27706287886</v>
      </c>
      <c r="C1240" s="10">
        <f ca="1">TODAY()-4832</f>
        <v>39389</v>
      </c>
      <c r="D1240" s="10" t="s">
        <v>3399</v>
      </c>
      <c r="E1240" s="12" t="s">
        <v>3412</v>
      </c>
      <c r="F1240" s="16">
        <v>320000</v>
      </c>
    </row>
    <row r="1241" spans="1:6" x14ac:dyDescent="0.2">
      <c r="A1241" s="8" t="s">
        <v>620</v>
      </c>
      <c r="B1241" s="9">
        <v>28304241633</v>
      </c>
      <c r="C1241" s="10">
        <f ca="1">TODAY()-2432</f>
        <v>41789</v>
      </c>
      <c r="D1241" s="10" t="s">
        <v>2300</v>
      </c>
      <c r="E1241" s="12" t="s">
        <v>3525</v>
      </c>
      <c r="F1241" s="16">
        <v>460000</v>
      </c>
    </row>
    <row r="1242" spans="1:6" x14ac:dyDescent="0.2">
      <c r="A1242" s="8" t="s">
        <v>1183</v>
      </c>
      <c r="B1242" s="9">
        <v>26208138329</v>
      </c>
      <c r="C1242" s="10">
        <f ca="1">TODAY()-112</f>
        <v>44109</v>
      </c>
      <c r="D1242" s="10" t="s">
        <v>2290</v>
      </c>
      <c r="E1242" s="12" t="s">
        <v>3523</v>
      </c>
      <c r="F1242" s="16">
        <v>210000</v>
      </c>
    </row>
    <row r="1243" spans="1:6" x14ac:dyDescent="0.2">
      <c r="A1243" s="8" t="s">
        <v>1102</v>
      </c>
      <c r="B1243" s="9">
        <v>28012194678</v>
      </c>
      <c r="C1243" s="10">
        <f ca="1">TODAY()-4362</f>
        <v>39859</v>
      </c>
      <c r="D1243" s="10" t="s">
        <v>3402</v>
      </c>
      <c r="E1243" s="12" t="s">
        <v>3541</v>
      </c>
      <c r="F1243" s="16">
        <v>265000</v>
      </c>
    </row>
    <row r="1244" spans="1:6" x14ac:dyDescent="0.2">
      <c r="A1244" s="8" t="s">
        <v>1773</v>
      </c>
      <c r="B1244" s="9">
        <v>16611063705</v>
      </c>
      <c r="C1244" s="10">
        <f ca="1">TODAY()-3130</f>
        <v>41091</v>
      </c>
      <c r="D1244" s="10" t="s">
        <v>3401</v>
      </c>
      <c r="E1244" s="12" t="s">
        <v>3529</v>
      </c>
      <c r="F1244" s="16">
        <v>220000</v>
      </c>
    </row>
    <row r="1245" spans="1:6" x14ac:dyDescent="0.2">
      <c r="A1245" s="8" t="s">
        <v>2271</v>
      </c>
      <c r="B1245" s="9">
        <v>28005107234</v>
      </c>
      <c r="C1245" s="10">
        <f ca="1">TODAY()-416</f>
        <v>43805</v>
      </c>
      <c r="D1245" s="10" t="s">
        <v>3388</v>
      </c>
      <c r="E1245" s="12" t="s">
        <v>3388</v>
      </c>
      <c r="F1245" s="16">
        <v>225000</v>
      </c>
    </row>
    <row r="1246" spans="1:6" x14ac:dyDescent="0.2">
      <c r="A1246" s="8" t="s">
        <v>1110</v>
      </c>
      <c r="B1246" s="9">
        <v>18907011626</v>
      </c>
      <c r="C1246" s="10">
        <f ca="1">TODAY()-3336</f>
        <v>40885</v>
      </c>
      <c r="D1246" s="10" t="s">
        <v>3398</v>
      </c>
      <c r="E1246" s="12" t="s">
        <v>3564</v>
      </c>
      <c r="F1246" s="16">
        <v>445000</v>
      </c>
    </row>
    <row r="1247" spans="1:6" x14ac:dyDescent="0.2">
      <c r="A1247" s="8" t="s">
        <v>1923</v>
      </c>
      <c r="B1247" s="9">
        <v>16606156191</v>
      </c>
      <c r="C1247" s="10">
        <f ca="1">TODAY()-3448</f>
        <v>40773</v>
      </c>
      <c r="D1247" s="10" t="s">
        <v>3382</v>
      </c>
      <c r="E1247" s="12" t="s">
        <v>3495</v>
      </c>
      <c r="F1247" s="16">
        <v>215000</v>
      </c>
    </row>
    <row r="1248" spans="1:6" x14ac:dyDescent="0.2">
      <c r="A1248" s="8" t="s">
        <v>1701</v>
      </c>
      <c r="B1248" s="9">
        <v>17403168745</v>
      </c>
      <c r="C1248" s="10">
        <f ca="1">TODAY()-266</f>
        <v>43955</v>
      </c>
      <c r="D1248" s="10" t="s">
        <v>3387</v>
      </c>
      <c r="E1248" s="12" t="s">
        <v>3518</v>
      </c>
      <c r="F1248" s="16">
        <v>290000</v>
      </c>
    </row>
    <row r="1249" spans="1:6" x14ac:dyDescent="0.2">
      <c r="A1249" s="8" t="s">
        <v>1455</v>
      </c>
      <c r="B1249" s="9">
        <v>27012264690</v>
      </c>
      <c r="C1249" s="10">
        <f ca="1">TODAY()-3047</f>
        <v>41174</v>
      </c>
      <c r="D1249" s="10" t="s">
        <v>3384</v>
      </c>
      <c r="E1249" s="12" t="s">
        <v>3553</v>
      </c>
      <c r="F1249" s="16">
        <v>385000</v>
      </c>
    </row>
    <row r="1250" spans="1:6" x14ac:dyDescent="0.2">
      <c r="A1250" s="8" t="s">
        <v>1292</v>
      </c>
      <c r="B1250" s="9">
        <v>27211034488</v>
      </c>
      <c r="C1250" s="10">
        <f ca="1">TODAY()-1687</f>
        <v>42534</v>
      </c>
      <c r="D1250" s="10" t="s">
        <v>2302</v>
      </c>
      <c r="E1250" s="12" t="s">
        <v>3467</v>
      </c>
      <c r="F1250" s="16">
        <v>475000</v>
      </c>
    </row>
    <row r="1251" spans="1:6" x14ac:dyDescent="0.2">
      <c r="A1251" s="8" t="s">
        <v>609</v>
      </c>
      <c r="B1251" s="9">
        <v>16609149789</v>
      </c>
      <c r="C1251" s="10">
        <f ca="1">TODAY()-3560</f>
        <v>40661</v>
      </c>
      <c r="D1251" s="10" t="s">
        <v>2287</v>
      </c>
      <c r="E1251" s="12" t="s">
        <v>3449</v>
      </c>
      <c r="F1251" s="16">
        <v>215000</v>
      </c>
    </row>
    <row r="1252" spans="1:6" x14ac:dyDescent="0.2">
      <c r="A1252" s="8" t="s">
        <v>1238</v>
      </c>
      <c r="B1252" s="9">
        <v>27009032515</v>
      </c>
      <c r="C1252" s="10">
        <f ca="1">TODAY()-1374</f>
        <v>42847</v>
      </c>
      <c r="D1252" s="10" t="s">
        <v>2292</v>
      </c>
      <c r="E1252" s="12" t="s">
        <v>2292</v>
      </c>
      <c r="F1252" s="16">
        <v>405000</v>
      </c>
    </row>
    <row r="1253" spans="1:6" x14ac:dyDescent="0.2">
      <c r="A1253" s="8" t="s">
        <v>611</v>
      </c>
      <c r="B1253" s="9">
        <v>18210105263</v>
      </c>
      <c r="C1253" s="10">
        <f ca="1">TODAY()-2078</f>
        <v>42143</v>
      </c>
      <c r="D1253" s="10" t="s">
        <v>3394</v>
      </c>
      <c r="E1253" s="12" t="s">
        <v>3461</v>
      </c>
      <c r="F1253" s="16">
        <v>280000</v>
      </c>
    </row>
    <row r="1254" spans="1:6" x14ac:dyDescent="0.2">
      <c r="A1254" s="8" t="s">
        <v>1746</v>
      </c>
      <c r="B1254" s="9">
        <v>17209162499</v>
      </c>
      <c r="C1254" s="10">
        <f ca="1">TODAY()-3813</f>
        <v>40408</v>
      </c>
      <c r="D1254" s="10" t="s">
        <v>3381</v>
      </c>
      <c r="E1254" s="12" t="s">
        <v>3509</v>
      </c>
      <c r="F1254" s="16">
        <v>175000</v>
      </c>
    </row>
    <row r="1255" spans="1:6" x14ac:dyDescent="0.2">
      <c r="A1255" s="8" t="s">
        <v>1634</v>
      </c>
      <c r="B1255" s="9">
        <v>18610146200</v>
      </c>
      <c r="C1255" s="10">
        <f ca="1">TODAY()-572</f>
        <v>43649</v>
      </c>
      <c r="D1255" s="10" t="s">
        <v>3392</v>
      </c>
      <c r="E1255" s="12" t="s">
        <v>3425</v>
      </c>
      <c r="F1255" s="16">
        <v>280000</v>
      </c>
    </row>
    <row r="1256" spans="1:6" x14ac:dyDescent="0.2">
      <c r="A1256" s="8" t="s">
        <v>1853</v>
      </c>
      <c r="B1256" s="9">
        <v>16705172506</v>
      </c>
      <c r="C1256" s="10">
        <f ca="1">TODAY()-4485</f>
        <v>39736</v>
      </c>
      <c r="D1256" s="10" t="s">
        <v>3379</v>
      </c>
      <c r="E1256" s="12" t="s">
        <v>3379</v>
      </c>
      <c r="F1256" s="16">
        <v>290000</v>
      </c>
    </row>
    <row r="1257" spans="1:6" x14ac:dyDescent="0.2">
      <c r="A1257" s="8" t="s">
        <v>2010</v>
      </c>
      <c r="B1257" s="9">
        <v>27305019423</v>
      </c>
      <c r="C1257" s="10">
        <f ca="1">TODAY()-2037</f>
        <v>42184</v>
      </c>
      <c r="D1257" s="10" t="s">
        <v>3398</v>
      </c>
      <c r="E1257" s="12" t="s">
        <v>3411</v>
      </c>
      <c r="F1257" s="16">
        <v>375000</v>
      </c>
    </row>
    <row r="1258" spans="1:6" x14ac:dyDescent="0.2">
      <c r="A1258" s="8" t="s">
        <v>1915</v>
      </c>
      <c r="B1258" s="9">
        <v>17309102831</v>
      </c>
      <c r="C1258" s="10">
        <f ca="1">TODAY()-2727</f>
        <v>41494</v>
      </c>
      <c r="D1258" s="10" t="s">
        <v>3380</v>
      </c>
      <c r="E1258" s="12" t="s">
        <v>3553</v>
      </c>
      <c r="F1258" s="16">
        <v>360000</v>
      </c>
    </row>
    <row r="1259" spans="1:6" x14ac:dyDescent="0.2">
      <c r="A1259" s="8" t="s">
        <v>1350</v>
      </c>
      <c r="B1259" s="9">
        <v>19005198719</v>
      </c>
      <c r="C1259" s="10">
        <f ca="1">TODAY()-3008</f>
        <v>41213</v>
      </c>
      <c r="D1259" s="10" t="s">
        <v>3393</v>
      </c>
      <c r="E1259" s="12" t="s">
        <v>3423</v>
      </c>
      <c r="F1259" s="16">
        <v>475000</v>
      </c>
    </row>
    <row r="1260" spans="1:6" x14ac:dyDescent="0.2">
      <c r="A1260" s="8" t="s">
        <v>2087</v>
      </c>
      <c r="B1260" s="9">
        <v>26801187021</v>
      </c>
      <c r="C1260" s="10">
        <f ca="1">TODAY()-3764</f>
        <v>40457</v>
      </c>
      <c r="D1260" s="10" t="s">
        <v>2290</v>
      </c>
      <c r="E1260" s="12" t="s">
        <v>3426</v>
      </c>
      <c r="F1260" s="16">
        <v>285000</v>
      </c>
    </row>
    <row r="1261" spans="1:6" x14ac:dyDescent="0.2">
      <c r="A1261" s="8" t="s">
        <v>1490</v>
      </c>
      <c r="B1261" s="9">
        <v>18502258593</v>
      </c>
      <c r="C1261" s="10">
        <f ca="1">TODAY()-1406</f>
        <v>42815</v>
      </c>
      <c r="D1261" s="10" t="s">
        <v>3384</v>
      </c>
      <c r="E1261" s="12" t="s">
        <v>3517</v>
      </c>
      <c r="F1261" s="16">
        <v>480000</v>
      </c>
    </row>
    <row r="1262" spans="1:6" x14ac:dyDescent="0.2">
      <c r="A1262" s="8" t="s">
        <v>429</v>
      </c>
      <c r="B1262" s="9">
        <v>17912279899</v>
      </c>
      <c r="C1262" s="10">
        <f ca="1">TODAY()-3612</f>
        <v>40609</v>
      </c>
      <c r="D1262" s="10" t="s">
        <v>3389</v>
      </c>
      <c r="E1262" s="12" t="s">
        <v>3520</v>
      </c>
      <c r="F1262" s="16">
        <v>230000</v>
      </c>
    </row>
    <row r="1263" spans="1:6" x14ac:dyDescent="0.2">
      <c r="A1263" s="8" t="s">
        <v>2000</v>
      </c>
      <c r="B1263" s="9">
        <v>17105228438</v>
      </c>
      <c r="C1263" s="10">
        <f ca="1">TODAY()-654</f>
        <v>43567</v>
      </c>
      <c r="D1263" s="10" t="s">
        <v>3400</v>
      </c>
      <c r="E1263" s="12" t="s">
        <v>3538</v>
      </c>
      <c r="F1263" s="16">
        <v>195000</v>
      </c>
    </row>
    <row r="1264" spans="1:6" x14ac:dyDescent="0.2">
      <c r="A1264" s="8" t="s">
        <v>1405</v>
      </c>
      <c r="B1264" s="9">
        <v>17707123179</v>
      </c>
      <c r="C1264" s="10">
        <f ca="1">TODAY()-1772</f>
        <v>42449</v>
      </c>
      <c r="D1264" s="10" t="s">
        <v>2303</v>
      </c>
      <c r="E1264" s="12" t="s">
        <v>3501</v>
      </c>
      <c r="F1264" s="16">
        <v>420000</v>
      </c>
    </row>
    <row r="1265" spans="1:6" x14ac:dyDescent="0.2">
      <c r="A1265" s="8" t="s">
        <v>741</v>
      </c>
      <c r="B1265" s="9">
        <v>27602052347</v>
      </c>
      <c r="C1265" s="10">
        <f ca="1">TODAY()-3740</f>
        <v>40481</v>
      </c>
      <c r="D1265" s="10" t="s">
        <v>3387</v>
      </c>
      <c r="E1265" s="12" t="s">
        <v>3446</v>
      </c>
      <c r="F1265" s="16">
        <v>325000</v>
      </c>
    </row>
    <row r="1266" spans="1:6" x14ac:dyDescent="0.2">
      <c r="A1266" s="8" t="s">
        <v>1448</v>
      </c>
      <c r="B1266" s="9">
        <v>16311016635</v>
      </c>
      <c r="C1266" s="10">
        <f ca="1">TODAY()-199</f>
        <v>44022</v>
      </c>
      <c r="D1266" s="10" t="s">
        <v>3395</v>
      </c>
      <c r="E1266" s="12" t="s">
        <v>3518</v>
      </c>
      <c r="F1266" s="16">
        <v>325000</v>
      </c>
    </row>
    <row r="1267" spans="1:6" x14ac:dyDescent="0.2">
      <c r="A1267" s="8" t="s">
        <v>844</v>
      </c>
      <c r="B1267" s="9">
        <v>16001126048</v>
      </c>
      <c r="C1267" s="10">
        <f ca="1">TODAY()-2237</f>
        <v>41984</v>
      </c>
      <c r="D1267" s="10" t="s">
        <v>3398</v>
      </c>
      <c r="E1267" s="12" t="s">
        <v>3398</v>
      </c>
      <c r="F1267" s="16">
        <v>430000</v>
      </c>
    </row>
    <row r="1268" spans="1:6" x14ac:dyDescent="0.2">
      <c r="A1268" s="8" t="s">
        <v>1687</v>
      </c>
      <c r="B1268" s="9">
        <v>16312037576</v>
      </c>
      <c r="C1268" s="10">
        <f ca="1">TODAY()-4076</f>
        <v>40145</v>
      </c>
      <c r="D1268" s="10" t="s">
        <v>3401</v>
      </c>
      <c r="E1268" s="12" t="s">
        <v>3429</v>
      </c>
      <c r="F1268" s="16">
        <v>265000</v>
      </c>
    </row>
    <row r="1269" spans="1:6" x14ac:dyDescent="0.2">
      <c r="A1269" s="8" t="s">
        <v>909</v>
      </c>
      <c r="B1269" s="9">
        <v>27705127893</v>
      </c>
      <c r="C1269" s="10">
        <f ca="1">TODAY()-143</f>
        <v>44078</v>
      </c>
      <c r="D1269" s="10" t="s">
        <v>3392</v>
      </c>
      <c r="E1269" s="12" t="s">
        <v>3392</v>
      </c>
      <c r="F1269" s="16">
        <v>195000</v>
      </c>
    </row>
    <row r="1270" spans="1:6" x14ac:dyDescent="0.2">
      <c r="A1270" s="8" t="s">
        <v>1176</v>
      </c>
      <c r="B1270" s="9">
        <v>18504212181</v>
      </c>
      <c r="C1270" s="10">
        <f ca="1">TODAY()-4996</f>
        <v>39225</v>
      </c>
      <c r="D1270" s="10" t="s">
        <v>3402</v>
      </c>
      <c r="E1270" s="12" t="s">
        <v>3482</v>
      </c>
      <c r="F1270" s="16">
        <v>205000</v>
      </c>
    </row>
    <row r="1271" spans="1:6" x14ac:dyDescent="0.2">
      <c r="A1271" s="8" t="s">
        <v>1034</v>
      </c>
      <c r="B1271" s="9">
        <v>18010133143</v>
      </c>
      <c r="C1271" s="10">
        <f ca="1">TODAY()-4483</f>
        <v>39738</v>
      </c>
      <c r="D1271" s="10" t="s">
        <v>3383</v>
      </c>
      <c r="E1271" s="12" t="s">
        <v>3511</v>
      </c>
      <c r="F1271" s="16">
        <v>185000</v>
      </c>
    </row>
    <row r="1272" spans="1:6" x14ac:dyDescent="0.2">
      <c r="A1272" s="8" t="s">
        <v>1112</v>
      </c>
      <c r="B1272" s="9">
        <v>27906225699</v>
      </c>
      <c r="C1272" s="10">
        <f ca="1">TODAY()-3661</f>
        <v>40560</v>
      </c>
      <c r="D1272" s="10" t="s">
        <v>3383</v>
      </c>
      <c r="E1272" s="12" t="s">
        <v>3448</v>
      </c>
      <c r="F1272" s="16">
        <v>280000</v>
      </c>
    </row>
    <row r="1273" spans="1:6" x14ac:dyDescent="0.2">
      <c r="A1273" s="8" t="s">
        <v>786</v>
      </c>
      <c r="B1273" s="9">
        <v>19012013927</v>
      </c>
      <c r="C1273" s="10">
        <f ca="1">TODAY()-3359</f>
        <v>40862</v>
      </c>
      <c r="D1273" s="10" t="s">
        <v>2293</v>
      </c>
      <c r="E1273" s="12" t="s">
        <v>3431</v>
      </c>
      <c r="F1273" s="16">
        <v>270000</v>
      </c>
    </row>
    <row r="1274" spans="1:6" x14ac:dyDescent="0.2">
      <c r="A1274" s="8" t="s">
        <v>454</v>
      </c>
      <c r="B1274" s="9">
        <v>26702161758</v>
      </c>
      <c r="C1274" s="10">
        <f ca="1">TODAY()-56</f>
        <v>44165</v>
      </c>
      <c r="D1274" s="10" t="s">
        <v>3379</v>
      </c>
      <c r="E1274" s="12" t="s">
        <v>3432</v>
      </c>
      <c r="F1274" s="16">
        <v>310000</v>
      </c>
    </row>
    <row r="1275" spans="1:6" x14ac:dyDescent="0.2">
      <c r="A1275" s="8" t="s">
        <v>1261</v>
      </c>
      <c r="B1275" s="9">
        <v>17803259325</v>
      </c>
      <c r="C1275" s="10">
        <f ca="1">TODAY()-726</f>
        <v>43495</v>
      </c>
      <c r="D1275" s="10" t="s">
        <v>2299</v>
      </c>
      <c r="E1275" s="12" t="s">
        <v>3416</v>
      </c>
      <c r="F1275" s="16">
        <v>375000</v>
      </c>
    </row>
    <row r="1276" spans="1:6" x14ac:dyDescent="0.2">
      <c r="A1276" s="8" t="s">
        <v>1920</v>
      </c>
      <c r="B1276" s="9">
        <v>16802288417</v>
      </c>
      <c r="C1276" s="10">
        <f ca="1">TODAY()-1522</f>
        <v>42699</v>
      </c>
      <c r="D1276" s="10" t="s">
        <v>2303</v>
      </c>
      <c r="E1276" s="12" t="s">
        <v>3416</v>
      </c>
      <c r="F1276" s="16">
        <v>230000</v>
      </c>
    </row>
    <row r="1277" spans="1:6" x14ac:dyDescent="0.2">
      <c r="A1277" s="8" t="s">
        <v>991</v>
      </c>
      <c r="B1277" s="9">
        <v>18609096572</v>
      </c>
      <c r="C1277" s="10">
        <f ca="1">TODAY()-3368</f>
        <v>40853</v>
      </c>
      <c r="D1277" s="10" t="s">
        <v>2304</v>
      </c>
      <c r="E1277" s="12" t="s">
        <v>2304</v>
      </c>
      <c r="F1277" s="16">
        <v>395000</v>
      </c>
    </row>
    <row r="1278" spans="1:6" x14ac:dyDescent="0.2">
      <c r="A1278" s="8" t="s">
        <v>518</v>
      </c>
      <c r="B1278" s="9">
        <v>16303133508</v>
      </c>
      <c r="C1278" s="10">
        <f ca="1">TODAY()-2241</f>
        <v>41980</v>
      </c>
      <c r="D1278" s="10" t="s">
        <v>2304</v>
      </c>
      <c r="E1278" s="12" t="s">
        <v>3518</v>
      </c>
      <c r="F1278" s="16">
        <v>350000</v>
      </c>
    </row>
    <row r="1279" spans="1:6" x14ac:dyDescent="0.2">
      <c r="A1279" s="8" t="s">
        <v>2054</v>
      </c>
      <c r="B1279" s="9">
        <v>16008185089</v>
      </c>
      <c r="C1279" s="10">
        <f ca="1">TODAY()-3109</f>
        <v>41112</v>
      </c>
      <c r="D1279" s="10" t="s">
        <v>2291</v>
      </c>
      <c r="E1279" s="12" t="s">
        <v>3488</v>
      </c>
      <c r="F1279" s="16">
        <v>330000</v>
      </c>
    </row>
    <row r="1280" spans="1:6" x14ac:dyDescent="0.2">
      <c r="A1280" s="8" t="s">
        <v>2250</v>
      </c>
      <c r="B1280" s="9">
        <v>26807284345</v>
      </c>
      <c r="C1280" s="10">
        <f ca="1">TODAY()-3471</f>
        <v>40750</v>
      </c>
      <c r="D1280" s="10" t="s">
        <v>2293</v>
      </c>
      <c r="E1280" s="12" t="s">
        <v>2293</v>
      </c>
      <c r="F1280" s="16">
        <v>390000</v>
      </c>
    </row>
    <row r="1281" spans="1:6" x14ac:dyDescent="0.2">
      <c r="A1281" s="8" t="s">
        <v>1654</v>
      </c>
      <c r="B1281" s="9">
        <v>28412223127</v>
      </c>
      <c r="C1281" s="10">
        <f ca="1">TODAY()-964</f>
        <v>43257</v>
      </c>
      <c r="D1281" s="10" t="s">
        <v>2287</v>
      </c>
      <c r="E1281" s="12" t="s">
        <v>3481</v>
      </c>
      <c r="F1281" s="16">
        <v>500000</v>
      </c>
    </row>
    <row r="1282" spans="1:6" x14ac:dyDescent="0.2">
      <c r="A1282" s="8" t="s">
        <v>792</v>
      </c>
      <c r="B1282" s="9">
        <v>18911017738</v>
      </c>
      <c r="C1282" s="10">
        <f ca="1">TODAY()-730</f>
        <v>43491</v>
      </c>
      <c r="D1282" s="10" t="s">
        <v>2288</v>
      </c>
      <c r="E1282" s="12" t="s">
        <v>3562</v>
      </c>
      <c r="F1282" s="16">
        <v>425000</v>
      </c>
    </row>
    <row r="1283" spans="1:6" x14ac:dyDescent="0.2">
      <c r="A1283" s="8" t="s">
        <v>546</v>
      </c>
      <c r="B1283" s="9">
        <v>18412139212</v>
      </c>
      <c r="C1283" s="10">
        <f ca="1">TODAY()-4741</f>
        <v>39480</v>
      </c>
      <c r="D1283" s="10" t="s">
        <v>3391</v>
      </c>
      <c r="E1283" s="12" t="s">
        <v>3551</v>
      </c>
      <c r="F1283" s="16">
        <v>455000</v>
      </c>
    </row>
    <row r="1284" spans="1:6" x14ac:dyDescent="0.2">
      <c r="A1284" s="8" t="s">
        <v>1528</v>
      </c>
      <c r="B1284" s="9">
        <v>16103242201</v>
      </c>
      <c r="C1284" s="10">
        <f ca="1">TODAY()-1818</f>
        <v>42403</v>
      </c>
      <c r="D1284" s="10" t="s">
        <v>3384</v>
      </c>
      <c r="E1284" s="12" t="s">
        <v>3557</v>
      </c>
      <c r="F1284" s="16">
        <v>205000</v>
      </c>
    </row>
    <row r="1285" spans="1:6" x14ac:dyDescent="0.2">
      <c r="A1285" s="8" t="s">
        <v>1484</v>
      </c>
      <c r="B1285" s="9">
        <v>16406071878</v>
      </c>
      <c r="C1285" s="10">
        <f ca="1">TODAY()-4311</f>
        <v>39910</v>
      </c>
      <c r="D1285" s="10" t="s">
        <v>3382</v>
      </c>
      <c r="E1285" s="12" t="s">
        <v>3450</v>
      </c>
      <c r="F1285" s="16">
        <v>245000</v>
      </c>
    </row>
    <row r="1286" spans="1:6" x14ac:dyDescent="0.2">
      <c r="A1286" s="8" t="s">
        <v>512</v>
      </c>
      <c r="B1286" s="9">
        <v>18803213085</v>
      </c>
      <c r="C1286" s="10">
        <f ca="1">TODAY()-972</f>
        <v>43249</v>
      </c>
      <c r="D1286" s="10" t="s">
        <v>3384</v>
      </c>
      <c r="E1286" s="12" t="s">
        <v>3430</v>
      </c>
      <c r="F1286" s="16">
        <v>425000</v>
      </c>
    </row>
    <row r="1287" spans="1:6" x14ac:dyDescent="0.2">
      <c r="A1287" s="8" t="s">
        <v>1510</v>
      </c>
      <c r="B1287" s="9">
        <v>28104273648</v>
      </c>
      <c r="C1287" s="10">
        <f ca="1">TODAY()-1959</f>
        <v>42262</v>
      </c>
      <c r="D1287" s="10" t="s">
        <v>2294</v>
      </c>
      <c r="E1287" s="12" t="s">
        <v>3439</v>
      </c>
      <c r="F1287" s="16">
        <v>360000</v>
      </c>
    </row>
    <row r="1288" spans="1:6" x14ac:dyDescent="0.2">
      <c r="A1288" s="8" t="s">
        <v>903</v>
      </c>
      <c r="B1288" s="9">
        <v>27610086886</v>
      </c>
      <c r="C1288" s="10">
        <f ca="1">TODAY()-4702</f>
        <v>39519</v>
      </c>
      <c r="D1288" s="10" t="s">
        <v>2289</v>
      </c>
      <c r="E1288" s="12" t="s">
        <v>3533</v>
      </c>
      <c r="F1288" s="16">
        <v>495000</v>
      </c>
    </row>
    <row r="1289" spans="1:6" x14ac:dyDescent="0.2">
      <c r="A1289" s="8" t="s">
        <v>1348</v>
      </c>
      <c r="B1289" s="9">
        <v>17412167118</v>
      </c>
      <c r="C1289" s="10">
        <f ca="1">TODAY()-925</f>
        <v>43296</v>
      </c>
      <c r="D1289" s="10" t="s">
        <v>3383</v>
      </c>
      <c r="E1289" s="12" t="s">
        <v>3429</v>
      </c>
      <c r="F1289" s="16">
        <v>330000</v>
      </c>
    </row>
    <row r="1290" spans="1:6" x14ac:dyDescent="0.2">
      <c r="A1290" s="8" t="s">
        <v>1237</v>
      </c>
      <c r="B1290" s="9">
        <v>18611038919</v>
      </c>
      <c r="C1290" s="10">
        <f ca="1">TODAY()-2770</f>
        <v>41451</v>
      </c>
      <c r="D1290" s="10" t="s">
        <v>3384</v>
      </c>
      <c r="E1290" s="12" t="s">
        <v>3471</v>
      </c>
      <c r="F1290" s="16">
        <v>310000</v>
      </c>
    </row>
    <row r="1291" spans="1:6" x14ac:dyDescent="0.2">
      <c r="A1291" s="8" t="s">
        <v>1167</v>
      </c>
      <c r="B1291" s="9">
        <v>16707104074</v>
      </c>
      <c r="C1291" s="10">
        <f ca="1">TODAY()-3910</f>
        <v>40311</v>
      </c>
      <c r="D1291" s="10" t="s">
        <v>3402</v>
      </c>
      <c r="E1291" s="12" t="s">
        <v>3443</v>
      </c>
      <c r="F1291" s="16">
        <v>280000</v>
      </c>
    </row>
    <row r="1292" spans="1:6" x14ac:dyDescent="0.2">
      <c r="A1292" s="8" t="s">
        <v>1154</v>
      </c>
      <c r="B1292" s="9">
        <v>26412201577</v>
      </c>
      <c r="C1292" s="10">
        <f ca="1">TODAY()-1523</f>
        <v>42698</v>
      </c>
      <c r="D1292" s="10" t="s">
        <v>3389</v>
      </c>
      <c r="E1292" s="12" t="s">
        <v>3468</v>
      </c>
      <c r="F1292" s="16">
        <v>245000</v>
      </c>
    </row>
    <row r="1293" spans="1:6" x14ac:dyDescent="0.2">
      <c r="A1293" s="8" t="s">
        <v>1710</v>
      </c>
      <c r="B1293" s="9">
        <v>26211234971</v>
      </c>
      <c r="C1293" s="10">
        <f ca="1">TODAY()-1944</f>
        <v>42277</v>
      </c>
      <c r="D1293" s="10" t="s">
        <v>3382</v>
      </c>
      <c r="E1293" s="12" t="s">
        <v>3561</v>
      </c>
      <c r="F1293" s="16">
        <v>265000</v>
      </c>
    </row>
    <row r="1294" spans="1:6" x14ac:dyDescent="0.2">
      <c r="A1294" s="8" t="s">
        <v>2096</v>
      </c>
      <c r="B1294" s="9">
        <v>17708107633</v>
      </c>
      <c r="C1294" s="10">
        <f ca="1">TODAY()-706</f>
        <v>43515</v>
      </c>
      <c r="D1294" s="10" t="s">
        <v>2288</v>
      </c>
      <c r="E1294" s="12" t="s">
        <v>3415</v>
      </c>
      <c r="F1294" s="16">
        <v>270000</v>
      </c>
    </row>
    <row r="1295" spans="1:6" x14ac:dyDescent="0.2">
      <c r="A1295" s="8" t="s">
        <v>2137</v>
      </c>
      <c r="B1295" s="9">
        <v>26305168348</v>
      </c>
      <c r="C1295" s="10">
        <f ca="1">TODAY()-3936</f>
        <v>40285</v>
      </c>
      <c r="D1295" s="10" t="s">
        <v>3378</v>
      </c>
      <c r="E1295" s="12" t="s">
        <v>3554</v>
      </c>
      <c r="F1295" s="16">
        <v>380000</v>
      </c>
    </row>
    <row r="1296" spans="1:6" x14ac:dyDescent="0.2">
      <c r="A1296" s="8" t="s">
        <v>1714</v>
      </c>
      <c r="B1296" s="9">
        <v>28012125110</v>
      </c>
      <c r="C1296" s="10">
        <f ca="1">TODAY()-2421</f>
        <v>41800</v>
      </c>
      <c r="D1296" s="10" t="s">
        <v>2299</v>
      </c>
      <c r="E1296" s="12" t="s">
        <v>3551</v>
      </c>
      <c r="F1296" s="16">
        <v>460000</v>
      </c>
    </row>
    <row r="1297" spans="1:6" x14ac:dyDescent="0.2">
      <c r="A1297" s="8" t="s">
        <v>1011</v>
      </c>
      <c r="B1297" s="9">
        <v>26401275027</v>
      </c>
      <c r="C1297" s="10">
        <f ca="1">TODAY()-1897</f>
        <v>42324</v>
      </c>
      <c r="D1297" s="10" t="s">
        <v>3386</v>
      </c>
      <c r="E1297" s="12" t="s">
        <v>3513</v>
      </c>
      <c r="F1297" s="16">
        <v>355000</v>
      </c>
    </row>
    <row r="1298" spans="1:6" x14ac:dyDescent="0.2">
      <c r="A1298" s="8" t="s">
        <v>1697</v>
      </c>
      <c r="B1298" s="9">
        <v>28511109045</v>
      </c>
      <c r="C1298" s="10">
        <f ca="1">TODAY()-4933</f>
        <v>39288</v>
      </c>
      <c r="D1298" s="10" t="s">
        <v>2303</v>
      </c>
      <c r="E1298" s="12" t="s">
        <v>3479</v>
      </c>
      <c r="F1298" s="16">
        <v>220000</v>
      </c>
    </row>
    <row r="1299" spans="1:6" x14ac:dyDescent="0.2">
      <c r="A1299" s="8" t="s">
        <v>1329</v>
      </c>
      <c r="B1299" s="9">
        <v>26709274445</v>
      </c>
      <c r="C1299" s="10">
        <f ca="1">TODAY()-1686</f>
        <v>42535</v>
      </c>
      <c r="D1299" s="10" t="s">
        <v>2290</v>
      </c>
      <c r="E1299" s="12" t="s">
        <v>2290</v>
      </c>
      <c r="F1299" s="16">
        <v>405000</v>
      </c>
    </row>
    <row r="1300" spans="1:6" x14ac:dyDescent="0.2">
      <c r="A1300" s="8" t="s">
        <v>470</v>
      </c>
      <c r="B1300" s="9">
        <v>19010153156</v>
      </c>
      <c r="C1300" s="10">
        <f ca="1">TODAY()-3974</f>
        <v>40247</v>
      </c>
      <c r="D1300" s="10" t="s">
        <v>3386</v>
      </c>
      <c r="E1300" s="12" t="s">
        <v>3446</v>
      </c>
      <c r="F1300" s="16">
        <v>290000</v>
      </c>
    </row>
    <row r="1301" spans="1:6" x14ac:dyDescent="0.2">
      <c r="A1301" s="8" t="s">
        <v>1046</v>
      </c>
      <c r="B1301" s="9">
        <v>17201245322</v>
      </c>
      <c r="C1301" s="10">
        <f ca="1">TODAY()-3901</f>
        <v>40320</v>
      </c>
      <c r="D1301" s="10" t="s">
        <v>3398</v>
      </c>
      <c r="E1301" s="12" t="s">
        <v>3485</v>
      </c>
      <c r="F1301" s="16">
        <v>325000</v>
      </c>
    </row>
    <row r="1302" spans="1:6" x14ac:dyDescent="0.2">
      <c r="A1302" s="8" t="s">
        <v>657</v>
      </c>
      <c r="B1302" s="9">
        <v>27509205169</v>
      </c>
      <c r="C1302" s="10">
        <f ca="1">TODAY()-2570</f>
        <v>41651</v>
      </c>
      <c r="D1302" s="10" t="s">
        <v>3378</v>
      </c>
      <c r="E1302" s="12" t="s">
        <v>3468</v>
      </c>
      <c r="F1302" s="16">
        <v>385000</v>
      </c>
    </row>
    <row r="1303" spans="1:6" x14ac:dyDescent="0.2">
      <c r="A1303" s="8" t="s">
        <v>1685</v>
      </c>
      <c r="B1303" s="9">
        <v>27304114281</v>
      </c>
      <c r="C1303" s="10">
        <f ca="1">TODAY()-25</f>
        <v>44196</v>
      </c>
      <c r="D1303" s="10" t="s">
        <v>2291</v>
      </c>
      <c r="E1303" s="12" t="s">
        <v>3551</v>
      </c>
      <c r="F1303" s="16">
        <v>395000</v>
      </c>
    </row>
    <row r="1304" spans="1:6" x14ac:dyDescent="0.2">
      <c r="A1304" s="8" t="s">
        <v>1155</v>
      </c>
      <c r="B1304" s="9">
        <v>28504155053</v>
      </c>
      <c r="C1304" s="10">
        <f ca="1">TODAY()-1334</f>
        <v>42887</v>
      </c>
      <c r="D1304" s="10" t="s">
        <v>2285</v>
      </c>
      <c r="E1304" s="12" t="s">
        <v>3526</v>
      </c>
      <c r="F1304" s="16">
        <v>490000</v>
      </c>
    </row>
    <row r="1305" spans="1:6" x14ac:dyDescent="0.2">
      <c r="A1305" s="8" t="s">
        <v>483</v>
      </c>
      <c r="B1305" s="9">
        <v>17110046928</v>
      </c>
      <c r="C1305" s="10">
        <f ca="1">TODAY()-4252</f>
        <v>39969</v>
      </c>
      <c r="D1305" s="10" t="s">
        <v>2292</v>
      </c>
      <c r="E1305" s="12" t="s">
        <v>3468</v>
      </c>
      <c r="F1305" s="16">
        <v>425000</v>
      </c>
    </row>
    <row r="1306" spans="1:6" x14ac:dyDescent="0.2">
      <c r="A1306" s="8" t="s">
        <v>2063</v>
      </c>
      <c r="B1306" s="9">
        <v>18302017747</v>
      </c>
      <c r="C1306" s="10">
        <f ca="1">TODAY()-4160</f>
        <v>40061</v>
      </c>
      <c r="D1306" s="10" t="s">
        <v>2292</v>
      </c>
      <c r="E1306" s="12" t="s">
        <v>3542</v>
      </c>
      <c r="F1306" s="16">
        <v>220000</v>
      </c>
    </row>
    <row r="1307" spans="1:6" x14ac:dyDescent="0.2">
      <c r="A1307" s="8" t="s">
        <v>1307</v>
      </c>
      <c r="B1307" s="9">
        <v>16810015582</v>
      </c>
      <c r="C1307" s="10">
        <f ca="1">TODAY()-4089</f>
        <v>40132</v>
      </c>
      <c r="D1307" s="10" t="s">
        <v>3386</v>
      </c>
      <c r="E1307" s="12" t="s">
        <v>3476</v>
      </c>
      <c r="F1307" s="16">
        <v>465000</v>
      </c>
    </row>
    <row r="1308" spans="1:6" x14ac:dyDescent="0.2">
      <c r="A1308" s="8" t="s">
        <v>1606</v>
      </c>
      <c r="B1308" s="9">
        <v>26003162704</v>
      </c>
      <c r="C1308" s="10">
        <f ca="1">TODAY()-762</f>
        <v>43459</v>
      </c>
      <c r="D1308" s="10" t="s">
        <v>3385</v>
      </c>
      <c r="E1308" s="12" t="s">
        <v>3468</v>
      </c>
      <c r="F1308" s="16">
        <v>390000</v>
      </c>
    </row>
    <row r="1309" spans="1:6" x14ac:dyDescent="0.2">
      <c r="A1309" s="8" t="s">
        <v>2116</v>
      </c>
      <c r="B1309" s="9">
        <v>16107174024</v>
      </c>
      <c r="C1309" s="10">
        <f ca="1">TODAY()-452</f>
        <v>43769</v>
      </c>
      <c r="D1309" s="10" t="s">
        <v>3390</v>
      </c>
      <c r="E1309" s="12" t="s">
        <v>3557</v>
      </c>
      <c r="F1309" s="16">
        <v>465000</v>
      </c>
    </row>
    <row r="1310" spans="1:6" x14ac:dyDescent="0.2">
      <c r="A1310" s="8" t="s">
        <v>1447</v>
      </c>
      <c r="B1310" s="9">
        <v>26910098680</v>
      </c>
      <c r="C1310" s="10">
        <f ca="1">TODAY()-245</f>
        <v>43976</v>
      </c>
      <c r="D1310" s="10" t="s">
        <v>2285</v>
      </c>
      <c r="E1310" s="12" t="s">
        <v>2285</v>
      </c>
      <c r="F1310" s="16">
        <v>215000</v>
      </c>
    </row>
    <row r="1311" spans="1:6" x14ac:dyDescent="0.2">
      <c r="A1311" s="8" t="s">
        <v>859</v>
      </c>
      <c r="B1311" s="9">
        <v>18804011700</v>
      </c>
      <c r="C1311" s="10">
        <f ca="1">TODAY()-2555</f>
        <v>41666</v>
      </c>
      <c r="D1311" s="10" t="s">
        <v>2288</v>
      </c>
      <c r="E1311" s="12" t="s">
        <v>3522</v>
      </c>
      <c r="F1311" s="16">
        <v>430000</v>
      </c>
    </row>
    <row r="1312" spans="1:6" x14ac:dyDescent="0.2">
      <c r="A1312" s="8" t="s">
        <v>1386</v>
      </c>
      <c r="B1312" s="9">
        <v>26602122748</v>
      </c>
      <c r="C1312" s="10">
        <f ca="1">TODAY()-3957</f>
        <v>40264</v>
      </c>
      <c r="D1312" s="10" t="s">
        <v>3396</v>
      </c>
      <c r="E1312" s="12" t="s">
        <v>3502</v>
      </c>
      <c r="F1312" s="16">
        <v>490000</v>
      </c>
    </row>
    <row r="1313" spans="1:6" x14ac:dyDescent="0.2">
      <c r="A1313" s="8" t="s">
        <v>2184</v>
      </c>
      <c r="B1313" s="9">
        <v>16911213786</v>
      </c>
      <c r="C1313" s="10">
        <f ca="1">TODAY()-684</f>
        <v>43537</v>
      </c>
      <c r="D1313" s="10" t="s">
        <v>3388</v>
      </c>
      <c r="E1313" s="12" t="s">
        <v>3526</v>
      </c>
      <c r="F1313" s="16">
        <v>235000</v>
      </c>
    </row>
    <row r="1314" spans="1:6" x14ac:dyDescent="0.2">
      <c r="A1314" s="8" t="s">
        <v>1968</v>
      </c>
      <c r="B1314" s="9">
        <v>16510118513</v>
      </c>
      <c r="C1314" s="10">
        <f ca="1">TODAY()-3199</f>
        <v>41022</v>
      </c>
      <c r="D1314" s="10" t="s">
        <v>3384</v>
      </c>
      <c r="E1314" s="12" t="s">
        <v>3384</v>
      </c>
      <c r="F1314" s="16">
        <v>365000</v>
      </c>
    </row>
    <row r="1315" spans="1:6" x14ac:dyDescent="0.2">
      <c r="A1315" s="8" t="s">
        <v>1696</v>
      </c>
      <c r="B1315" s="9">
        <v>27604081508</v>
      </c>
      <c r="C1315" s="10">
        <f ca="1">TODAY()-2802</f>
        <v>41419</v>
      </c>
      <c r="D1315" s="10" t="s">
        <v>2288</v>
      </c>
      <c r="E1315" s="12" t="s">
        <v>3444</v>
      </c>
      <c r="F1315" s="16">
        <v>410000</v>
      </c>
    </row>
    <row r="1316" spans="1:6" x14ac:dyDescent="0.2">
      <c r="A1316" s="8" t="s">
        <v>270</v>
      </c>
      <c r="B1316" s="9">
        <v>26306125889</v>
      </c>
      <c r="C1316" s="10">
        <f ca="1">TODAY()-4886</f>
        <v>39335</v>
      </c>
      <c r="D1316" s="10" t="s">
        <v>3400</v>
      </c>
      <c r="E1316" s="12" t="s">
        <v>3400</v>
      </c>
      <c r="F1316" s="16">
        <v>235000</v>
      </c>
    </row>
    <row r="1317" spans="1:6" x14ac:dyDescent="0.2">
      <c r="A1317" s="8" t="s">
        <v>1288</v>
      </c>
      <c r="B1317" s="9">
        <v>18703036555</v>
      </c>
      <c r="C1317" s="10">
        <f ca="1">TODAY()-4483</f>
        <v>39738</v>
      </c>
      <c r="D1317" s="10" t="s">
        <v>3393</v>
      </c>
      <c r="E1317" s="12" t="s">
        <v>3412</v>
      </c>
      <c r="F1317" s="16">
        <v>185000</v>
      </c>
    </row>
    <row r="1318" spans="1:6" x14ac:dyDescent="0.2">
      <c r="A1318" s="8" t="s">
        <v>1824</v>
      </c>
      <c r="B1318" s="9">
        <v>18102249895</v>
      </c>
      <c r="C1318" s="10">
        <f ca="1">TODAY()-4108</f>
        <v>40113</v>
      </c>
      <c r="D1318" s="10" t="s">
        <v>2303</v>
      </c>
      <c r="E1318" s="12" t="s">
        <v>3451</v>
      </c>
      <c r="F1318" s="16">
        <v>360000</v>
      </c>
    </row>
    <row r="1319" spans="1:6" x14ac:dyDescent="0.2">
      <c r="A1319" s="8" t="s">
        <v>2148</v>
      </c>
      <c r="B1319" s="9">
        <v>18011082705</v>
      </c>
      <c r="C1319" s="10">
        <f ca="1">TODAY()-2480</f>
        <v>41741</v>
      </c>
      <c r="D1319" s="10" t="s">
        <v>2287</v>
      </c>
      <c r="E1319" s="12" t="s">
        <v>3415</v>
      </c>
      <c r="F1319" s="16">
        <v>290000</v>
      </c>
    </row>
    <row r="1320" spans="1:6" x14ac:dyDescent="0.2">
      <c r="A1320" s="8" t="s">
        <v>1136</v>
      </c>
      <c r="B1320" s="9">
        <v>17001108684</v>
      </c>
      <c r="C1320" s="10">
        <f ca="1">TODAY()-3443</f>
        <v>40778</v>
      </c>
      <c r="D1320" s="10" t="s">
        <v>2292</v>
      </c>
      <c r="E1320" s="12" t="s">
        <v>3413</v>
      </c>
      <c r="F1320" s="16">
        <v>315000</v>
      </c>
    </row>
    <row r="1321" spans="1:6" x14ac:dyDescent="0.2">
      <c r="A1321" s="8" t="s">
        <v>607</v>
      </c>
      <c r="B1321" s="9">
        <v>28904073159</v>
      </c>
      <c r="C1321" s="10">
        <f ca="1">TODAY()-1030</f>
        <v>43191</v>
      </c>
      <c r="D1321" s="10" t="s">
        <v>2292</v>
      </c>
      <c r="E1321" s="12" t="s">
        <v>3533</v>
      </c>
      <c r="F1321" s="16">
        <v>255000</v>
      </c>
    </row>
    <row r="1322" spans="1:6" x14ac:dyDescent="0.2">
      <c r="A1322" s="8" t="s">
        <v>1612</v>
      </c>
      <c r="B1322" s="9">
        <v>28411168707</v>
      </c>
      <c r="C1322" s="10">
        <f ca="1">TODAY()-183</f>
        <v>44038</v>
      </c>
      <c r="D1322" s="10" t="s">
        <v>3389</v>
      </c>
      <c r="E1322" s="12" t="s">
        <v>3389</v>
      </c>
      <c r="F1322" s="16">
        <v>230000</v>
      </c>
    </row>
    <row r="1323" spans="1:6" x14ac:dyDescent="0.2">
      <c r="A1323" s="8" t="s">
        <v>1232</v>
      </c>
      <c r="B1323" s="9">
        <v>29010027887</v>
      </c>
      <c r="C1323" s="10">
        <f ca="1">TODAY()-4437</f>
        <v>39784</v>
      </c>
      <c r="D1323" s="10" t="s">
        <v>3382</v>
      </c>
      <c r="E1323" s="12" t="s">
        <v>3432</v>
      </c>
      <c r="F1323" s="16">
        <v>470000</v>
      </c>
    </row>
    <row r="1324" spans="1:6" x14ac:dyDescent="0.2">
      <c r="A1324" s="8" t="s">
        <v>426</v>
      </c>
      <c r="B1324" s="9">
        <v>16906133249</v>
      </c>
      <c r="C1324" s="10">
        <f ca="1">TODAY()-194</f>
        <v>44027</v>
      </c>
      <c r="D1324" s="10" t="s">
        <v>3387</v>
      </c>
      <c r="E1324" s="12" t="s">
        <v>3470</v>
      </c>
      <c r="F1324" s="16">
        <v>260000</v>
      </c>
    </row>
    <row r="1325" spans="1:6" x14ac:dyDescent="0.2">
      <c r="A1325" s="8" t="s">
        <v>1766</v>
      </c>
      <c r="B1325" s="9">
        <v>28707156788</v>
      </c>
      <c r="C1325" s="10">
        <f ca="1">TODAY()-1152</f>
        <v>43069</v>
      </c>
      <c r="D1325" s="10" t="s">
        <v>2300</v>
      </c>
      <c r="E1325" s="12" t="s">
        <v>3520</v>
      </c>
      <c r="F1325" s="16">
        <v>340000</v>
      </c>
    </row>
    <row r="1326" spans="1:6" x14ac:dyDescent="0.2">
      <c r="A1326" s="8" t="s">
        <v>1791</v>
      </c>
      <c r="B1326" s="9">
        <v>17212265651</v>
      </c>
      <c r="C1326" s="10">
        <f ca="1">TODAY()-2087</f>
        <v>42134</v>
      </c>
      <c r="D1326" s="10" t="s">
        <v>3393</v>
      </c>
      <c r="E1326" s="12" t="s">
        <v>3433</v>
      </c>
      <c r="F1326" s="16">
        <v>450000</v>
      </c>
    </row>
    <row r="1327" spans="1:6" x14ac:dyDescent="0.2">
      <c r="A1327" s="8" t="s">
        <v>927</v>
      </c>
      <c r="B1327" s="9">
        <v>26109146796</v>
      </c>
      <c r="C1327" s="10">
        <f ca="1">TODAY()-295</f>
        <v>43926</v>
      </c>
      <c r="D1327" s="10" t="s">
        <v>2289</v>
      </c>
      <c r="E1327" s="12" t="s">
        <v>3431</v>
      </c>
      <c r="F1327" s="16">
        <v>365000</v>
      </c>
    </row>
    <row r="1328" spans="1:6" x14ac:dyDescent="0.2">
      <c r="A1328" s="8" t="s">
        <v>1157</v>
      </c>
      <c r="B1328" s="9">
        <v>16411277978</v>
      </c>
      <c r="C1328" s="10">
        <f ca="1">TODAY()-885</f>
        <v>43336</v>
      </c>
      <c r="D1328" s="10" t="s">
        <v>2302</v>
      </c>
      <c r="E1328" s="12" t="s">
        <v>3417</v>
      </c>
      <c r="F1328" s="16">
        <v>260000</v>
      </c>
    </row>
    <row r="1329" spans="1:6" x14ac:dyDescent="0.2">
      <c r="A1329" s="8" t="s">
        <v>958</v>
      </c>
      <c r="B1329" s="9">
        <v>26002066451</v>
      </c>
      <c r="C1329" s="10">
        <f ca="1">TODAY()-2837</f>
        <v>41384</v>
      </c>
      <c r="D1329" s="10" t="s">
        <v>2291</v>
      </c>
      <c r="E1329" s="12" t="s">
        <v>3508</v>
      </c>
      <c r="F1329" s="16">
        <v>445000</v>
      </c>
    </row>
    <row r="1330" spans="1:6" x14ac:dyDescent="0.2">
      <c r="A1330" s="8" t="s">
        <v>2050</v>
      </c>
      <c r="B1330" s="9">
        <v>17004176035</v>
      </c>
      <c r="C1330" s="10">
        <f ca="1">TODAY()-796</f>
        <v>43425</v>
      </c>
      <c r="D1330" s="10" t="s">
        <v>2296</v>
      </c>
      <c r="E1330" s="12" t="s">
        <v>3482</v>
      </c>
      <c r="F1330" s="16">
        <v>235000</v>
      </c>
    </row>
    <row r="1331" spans="1:6" x14ac:dyDescent="0.2">
      <c r="A1331" s="8" t="s">
        <v>1485</v>
      </c>
      <c r="B1331" s="9">
        <v>16602121937</v>
      </c>
      <c r="C1331" s="10">
        <f ca="1">TODAY()-2624</f>
        <v>41597</v>
      </c>
      <c r="D1331" s="10" t="s">
        <v>3399</v>
      </c>
      <c r="E1331" s="12" t="s">
        <v>3505</v>
      </c>
      <c r="F1331" s="16">
        <v>275000</v>
      </c>
    </row>
    <row r="1332" spans="1:6" x14ac:dyDescent="0.2">
      <c r="A1332" s="8" t="s">
        <v>813</v>
      </c>
      <c r="B1332" s="9">
        <v>17307188332</v>
      </c>
      <c r="C1332" s="10">
        <f ca="1">TODAY()-3729</f>
        <v>40492</v>
      </c>
      <c r="D1332" s="10" t="s">
        <v>2288</v>
      </c>
      <c r="E1332" s="12" t="s">
        <v>2288</v>
      </c>
      <c r="F1332" s="16">
        <v>270000</v>
      </c>
    </row>
    <row r="1333" spans="1:6" x14ac:dyDescent="0.2">
      <c r="A1333" s="8" t="s">
        <v>2026</v>
      </c>
      <c r="B1333" s="9">
        <v>18905225156</v>
      </c>
      <c r="C1333" s="10">
        <f ca="1">TODAY()-1479</f>
        <v>42742</v>
      </c>
      <c r="D1333" s="10" t="s">
        <v>2291</v>
      </c>
      <c r="E1333" s="12" t="s">
        <v>3543</v>
      </c>
      <c r="F1333" s="16">
        <v>290000</v>
      </c>
    </row>
    <row r="1334" spans="1:6" x14ac:dyDescent="0.2">
      <c r="A1334" s="8" t="s">
        <v>2136</v>
      </c>
      <c r="B1334" s="9">
        <v>16904172343</v>
      </c>
      <c r="C1334" s="10">
        <f ca="1">TODAY()-1303</f>
        <v>42918</v>
      </c>
      <c r="D1334" s="10" t="s">
        <v>3397</v>
      </c>
      <c r="E1334" s="12" t="s">
        <v>3519</v>
      </c>
      <c r="F1334" s="16">
        <v>275000</v>
      </c>
    </row>
    <row r="1335" spans="1:6" x14ac:dyDescent="0.2">
      <c r="A1335" s="8" t="s">
        <v>1413</v>
      </c>
      <c r="B1335" s="9">
        <v>26312238557</v>
      </c>
      <c r="C1335" s="10">
        <f ca="1">TODAY()-3842</f>
        <v>40379</v>
      </c>
      <c r="D1335" s="10" t="s">
        <v>2293</v>
      </c>
      <c r="E1335" s="12" t="s">
        <v>3478</v>
      </c>
      <c r="F1335" s="16">
        <v>365000</v>
      </c>
    </row>
    <row r="1336" spans="1:6" x14ac:dyDescent="0.2">
      <c r="A1336" s="8" t="s">
        <v>873</v>
      </c>
      <c r="B1336" s="9">
        <v>16503205643</v>
      </c>
      <c r="C1336" s="10">
        <f ca="1">TODAY()-1020</f>
        <v>43201</v>
      </c>
      <c r="D1336" s="10" t="s">
        <v>3402</v>
      </c>
      <c r="E1336" s="12" t="s">
        <v>3458</v>
      </c>
      <c r="F1336" s="16">
        <v>475000</v>
      </c>
    </row>
    <row r="1337" spans="1:6" x14ac:dyDescent="0.2">
      <c r="A1337" s="8" t="s">
        <v>2029</v>
      </c>
      <c r="B1337" s="9">
        <v>16211194073</v>
      </c>
      <c r="C1337" s="10">
        <f ca="1">TODAY()-2534</f>
        <v>41687</v>
      </c>
      <c r="D1337" s="10" t="s">
        <v>3393</v>
      </c>
      <c r="E1337" s="12" t="s">
        <v>3393</v>
      </c>
      <c r="F1337" s="16">
        <v>275000</v>
      </c>
    </row>
    <row r="1338" spans="1:6" x14ac:dyDescent="0.2">
      <c r="A1338" s="8" t="s">
        <v>1985</v>
      </c>
      <c r="B1338" s="9">
        <v>18707047815</v>
      </c>
      <c r="C1338" s="10">
        <f ca="1">TODAY()-2373</f>
        <v>41848</v>
      </c>
      <c r="D1338" s="10" t="s">
        <v>3399</v>
      </c>
      <c r="E1338" s="12" t="s">
        <v>3505</v>
      </c>
      <c r="F1338" s="16">
        <v>435000</v>
      </c>
    </row>
    <row r="1339" spans="1:6" x14ac:dyDescent="0.2">
      <c r="A1339" s="8" t="s">
        <v>435</v>
      </c>
      <c r="B1339" s="9">
        <v>16903222624</v>
      </c>
      <c r="C1339" s="10">
        <f ca="1">TODAY()-1596</f>
        <v>42625</v>
      </c>
      <c r="D1339" s="10" t="s">
        <v>3386</v>
      </c>
      <c r="E1339" s="12" t="s">
        <v>3436</v>
      </c>
      <c r="F1339" s="16">
        <v>405000</v>
      </c>
    </row>
    <row r="1340" spans="1:6" x14ac:dyDescent="0.2">
      <c r="A1340" s="8" t="s">
        <v>835</v>
      </c>
      <c r="B1340" s="9">
        <v>27511101638</v>
      </c>
      <c r="C1340" s="10">
        <f ca="1">TODAY()-4547</f>
        <v>39674</v>
      </c>
      <c r="D1340" s="10" t="s">
        <v>2294</v>
      </c>
      <c r="E1340" s="12" t="s">
        <v>3407</v>
      </c>
      <c r="F1340" s="16">
        <v>465000</v>
      </c>
    </row>
    <row r="1341" spans="1:6" x14ac:dyDescent="0.2">
      <c r="A1341" s="8" t="s">
        <v>1829</v>
      </c>
      <c r="B1341" s="9">
        <v>26410235187</v>
      </c>
      <c r="C1341" s="10">
        <f ca="1">TODAY()-348</f>
        <v>43873</v>
      </c>
      <c r="D1341" s="10" t="s">
        <v>2299</v>
      </c>
      <c r="E1341" s="12" t="s">
        <v>3453</v>
      </c>
      <c r="F1341" s="16">
        <v>260000</v>
      </c>
    </row>
    <row r="1342" spans="1:6" x14ac:dyDescent="0.2">
      <c r="A1342" s="8" t="s">
        <v>1151</v>
      </c>
      <c r="B1342" s="9">
        <v>17107284286</v>
      </c>
      <c r="C1342" s="10">
        <f ca="1">TODAY()-115</f>
        <v>44106</v>
      </c>
      <c r="D1342" s="10" t="s">
        <v>3383</v>
      </c>
      <c r="E1342" s="12" t="s">
        <v>3470</v>
      </c>
      <c r="F1342" s="16">
        <v>480000</v>
      </c>
    </row>
    <row r="1343" spans="1:6" x14ac:dyDescent="0.2">
      <c r="A1343" s="8" t="s">
        <v>2226</v>
      </c>
      <c r="B1343" s="9">
        <v>18604204701</v>
      </c>
      <c r="C1343" s="10">
        <f ca="1">TODAY()-3394</f>
        <v>40827</v>
      </c>
      <c r="D1343" s="10" t="s">
        <v>2293</v>
      </c>
      <c r="E1343" s="12" t="s">
        <v>3541</v>
      </c>
      <c r="F1343" s="16">
        <v>280000</v>
      </c>
    </row>
    <row r="1344" spans="1:6" x14ac:dyDescent="0.2">
      <c r="A1344" s="8" t="s">
        <v>1449</v>
      </c>
      <c r="B1344" s="9">
        <v>28403018890</v>
      </c>
      <c r="C1344" s="10">
        <f ca="1">TODAY()-4013</f>
        <v>40208</v>
      </c>
      <c r="D1344" s="10" t="s">
        <v>3389</v>
      </c>
      <c r="E1344" s="12" t="s">
        <v>3420</v>
      </c>
      <c r="F1344" s="16">
        <v>370000</v>
      </c>
    </row>
    <row r="1345" spans="1:6" x14ac:dyDescent="0.2">
      <c r="A1345" s="8" t="s">
        <v>566</v>
      </c>
      <c r="B1345" s="9">
        <v>26612079982</v>
      </c>
      <c r="C1345" s="10">
        <f ca="1">TODAY()-4408</f>
        <v>39813</v>
      </c>
      <c r="D1345" s="10" t="s">
        <v>3393</v>
      </c>
      <c r="E1345" s="12" t="s">
        <v>3521</v>
      </c>
      <c r="F1345" s="16">
        <v>255000</v>
      </c>
    </row>
    <row r="1346" spans="1:6" x14ac:dyDescent="0.2">
      <c r="A1346" s="8" t="s">
        <v>1239</v>
      </c>
      <c r="B1346" s="9">
        <v>18512074392</v>
      </c>
      <c r="C1346" s="10">
        <f ca="1">TODAY()-581</f>
        <v>43640</v>
      </c>
      <c r="D1346" s="10" t="s">
        <v>3396</v>
      </c>
      <c r="E1346" s="12" t="s">
        <v>3535</v>
      </c>
      <c r="F1346" s="16">
        <v>205000</v>
      </c>
    </row>
    <row r="1347" spans="1:6" x14ac:dyDescent="0.2">
      <c r="A1347" s="8" t="s">
        <v>1859</v>
      </c>
      <c r="B1347" s="9">
        <v>16905175429</v>
      </c>
      <c r="C1347" s="10">
        <f ca="1">TODAY()-14</f>
        <v>44207</v>
      </c>
      <c r="D1347" s="10" t="s">
        <v>3384</v>
      </c>
      <c r="E1347" s="12" t="s">
        <v>3384</v>
      </c>
      <c r="F1347" s="16">
        <v>370000</v>
      </c>
    </row>
    <row r="1348" spans="1:6" x14ac:dyDescent="0.2">
      <c r="A1348" s="8" t="s">
        <v>2042</v>
      </c>
      <c r="B1348" s="9">
        <v>26802023838</v>
      </c>
      <c r="C1348" s="10">
        <f ca="1">TODAY()-2104</f>
        <v>42117</v>
      </c>
      <c r="D1348" s="10" t="s">
        <v>2304</v>
      </c>
      <c r="E1348" s="12" t="s">
        <v>3510</v>
      </c>
      <c r="F1348" s="16">
        <v>350000</v>
      </c>
    </row>
    <row r="1349" spans="1:6" x14ac:dyDescent="0.2">
      <c r="A1349" s="8" t="s">
        <v>460</v>
      </c>
      <c r="B1349" s="9">
        <v>16111271127</v>
      </c>
      <c r="C1349" s="10">
        <f ca="1">TODAY()-2381</f>
        <v>41840</v>
      </c>
      <c r="D1349" s="10" t="s">
        <v>3384</v>
      </c>
      <c r="E1349" s="12" t="s">
        <v>3485</v>
      </c>
      <c r="F1349" s="16">
        <v>415000</v>
      </c>
    </row>
    <row r="1350" spans="1:6" x14ac:dyDescent="0.2">
      <c r="A1350" s="8" t="s">
        <v>431</v>
      </c>
      <c r="B1350" s="9">
        <v>27106113570</v>
      </c>
      <c r="C1350" s="10">
        <f ca="1">TODAY()-876</f>
        <v>43345</v>
      </c>
      <c r="D1350" s="10" t="s">
        <v>2293</v>
      </c>
      <c r="E1350" s="12" t="s">
        <v>3409</v>
      </c>
      <c r="F1350" s="16">
        <v>210000</v>
      </c>
    </row>
    <row r="1351" spans="1:6" x14ac:dyDescent="0.2">
      <c r="A1351" s="8" t="s">
        <v>1365</v>
      </c>
      <c r="B1351" s="9">
        <v>16003225133</v>
      </c>
      <c r="C1351" s="10">
        <f ca="1">TODAY()-27</f>
        <v>44194</v>
      </c>
      <c r="D1351" s="10" t="s">
        <v>2300</v>
      </c>
      <c r="E1351" s="12" t="s">
        <v>2300</v>
      </c>
      <c r="F1351" s="16">
        <v>450000</v>
      </c>
    </row>
    <row r="1352" spans="1:6" x14ac:dyDescent="0.2">
      <c r="A1352" s="8" t="s">
        <v>1130</v>
      </c>
      <c r="B1352" s="9">
        <v>18007077829</v>
      </c>
      <c r="C1352" s="10">
        <f ca="1">TODAY()-1288</f>
        <v>42933</v>
      </c>
      <c r="D1352" s="10" t="s">
        <v>3399</v>
      </c>
      <c r="E1352" s="12" t="s">
        <v>3479</v>
      </c>
      <c r="F1352" s="16">
        <v>310000</v>
      </c>
    </row>
    <row r="1353" spans="1:6" x14ac:dyDescent="0.2">
      <c r="A1353" s="8" t="s">
        <v>1107</v>
      </c>
      <c r="B1353" s="9">
        <v>16503097077</v>
      </c>
      <c r="C1353" s="10">
        <f ca="1">TODAY()-1468</f>
        <v>42753</v>
      </c>
      <c r="D1353" s="10" t="s">
        <v>3397</v>
      </c>
      <c r="E1353" s="12" t="s">
        <v>3500</v>
      </c>
      <c r="F1353" s="16">
        <v>440000</v>
      </c>
    </row>
    <row r="1354" spans="1:6" x14ac:dyDescent="0.2">
      <c r="A1354" s="8" t="s">
        <v>987</v>
      </c>
      <c r="B1354" s="9">
        <v>16308041687</v>
      </c>
      <c r="C1354" s="10">
        <f ca="1">TODAY()-3206</f>
        <v>41015</v>
      </c>
      <c r="D1354" s="10" t="s">
        <v>2291</v>
      </c>
      <c r="E1354" s="12" t="s">
        <v>3410</v>
      </c>
      <c r="F1354" s="16">
        <v>180000</v>
      </c>
    </row>
    <row r="1355" spans="1:6" x14ac:dyDescent="0.2">
      <c r="A1355" s="8" t="s">
        <v>899</v>
      </c>
      <c r="B1355" s="9">
        <v>18701226344</v>
      </c>
      <c r="C1355" s="10">
        <f ca="1">TODAY()-4340</f>
        <v>39881</v>
      </c>
      <c r="D1355" s="10" t="s">
        <v>3382</v>
      </c>
      <c r="E1355" s="12" t="s">
        <v>3382</v>
      </c>
      <c r="F1355" s="16">
        <v>175000</v>
      </c>
    </row>
    <row r="1356" spans="1:6" x14ac:dyDescent="0.2">
      <c r="A1356" s="8" t="s">
        <v>1688</v>
      </c>
      <c r="B1356" s="9">
        <v>26309233003</v>
      </c>
      <c r="C1356" s="10">
        <f ca="1">TODAY()-3542</f>
        <v>40679</v>
      </c>
      <c r="D1356" s="10" t="s">
        <v>3395</v>
      </c>
      <c r="E1356" s="12" t="s">
        <v>3430</v>
      </c>
      <c r="F1356" s="16">
        <v>225000</v>
      </c>
    </row>
    <row r="1357" spans="1:6" x14ac:dyDescent="0.2">
      <c r="A1357" s="8" t="s">
        <v>956</v>
      </c>
      <c r="B1357" s="9">
        <v>16709029943</v>
      </c>
      <c r="C1357" s="10">
        <f ca="1">TODAY()-560</f>
        <v>43661</v>
      </c>
      <c r="D1357" s="10" t="s">
        <v>3398</v>
      </c>
      <c r="E1357" s="12" t="s">
        <v>3403</v>
      </c>
      <c r="F1357" s="16">
        <v>295000</v>
      </c>
    </row>
    <row r="1358" spans="1:6" x14ac:dyDescent="0.2">
      <c r="A1358" s="8" t="s">
        <v>2020</v>
      </c>
      <c r="B1358" s="9">
        <v>26410183749</v>
      </c>
      <c r="C1358" s="10">
        <f ca="1">TODAY()-4960</f>
        <v>39261</v>
      </c>
      <c r="D1358" s="10" t="s">
        <v>3389</v>
      </c>
      <c r="E1358" s="12" t="s">
        <v>3522</v>
      </c>
      <c r="F1358" s="16">
        <v>405000</v>
      </c>
    </row>
    <row r="1359" spans="1:6" x14ac:dyDescent="0.2">
      <c r="A1359" s="8" t="s">
        <v>1177</v>
      </c>
      <c r="B1359" s="9">
        <v>27410163357</v>
      </c>
      <c r="C1359" s="10">
        <f ca="1">TODAY()-1125</f>
        <v>43096</v>
      </c>
      <c r="D1359" s="10" t="s">
        <v>2297</v>
      </c>
      <c r="E1359" s="12" t="s">
        <v>3554</v>
      </c>
      <c r="F1359" s="16">
        <v>430000</v>
      </c>
    </row>
    <row r="1360" spans="1:6" x14ac:dyDescent="0.2">
      <c r="A1360" s="8" t="s">
        <v>1336</v>
      </c>
      <c r="B1360" s="9">
        <v>18304136855</v>
      </c>
      <c r="C1360" s="10">
        <f ca="1">TODAY()-2446</f>
        <v>41775</v>
      </c>
      <c r="D1360" s="10" t="s">
        <v>2292</v>
      </c>
      <c r="E1360" s="12" t="s">
        <v>3476</v>
      </c>
      <c r="F1360" s="16">
        <v>495000</v>
      </c>
    </row>
    <row r="1361" spans="1:6" x14ac:dyDescent="0.2">
      <c r="A1361" s="8" t="s">
        <v>1883</v>
      </c>
      <c r="B1361" s="9">
        <v>18602147177</v>
      </c>
      <c r="C1361" s="10">
        <f ca="1">TODAY()-3651</f>
        <v>40570</v>
      </c>
      <c r="D1361" s="10" t="s">
        <v>2291</v>
      </c>
      <c r="E1361" s="12" t="s">
        <v>3545</v>
      </c>
      <c r="F1361" s="16">
        <v>280000</v>
      </c>
    </row>
    <row r="1362" spans="1:6" x14ac:dyDescent="0.2">
      <c r="A1362" s="8" t="s">
        <v>1095</v>
      </c>
      <c r="B1362" s="9">
        <v>28202247886</v>
      </c>
      <c r="C1362" s="10">
        <f ca="1">TODAY()-3111</f>
        <v>41110</v>
      </c>
      <c r="D1362" s="10" t="s">
        <v>2292</v>
      </c>
      <c r="E1362" s="12" t="s">
        <v>3532</v>
      </c>
      <c r="F1362" s="16">
        <v>430000</v>
      </c>
    </row>
    <row r="1363" spans="1:6" x14ac:dyDescent="0.2">
      <c r="A1363" s="8" t="s">
        <v>2094</v>
      </c>
      <c r="B1363" s="9">
        <v>27402077849</v>
      </c>
      <c r="C1363" s="10">
        <f ca="1">TODAY()-1997</f>
        <v>42224</v>
      </c>
      <c r="D1363" s="10" t="s">
        <v>3394</v>
      </c>
      <c r="E1363" s="12" t="s">
        <v>3476</v>
      </c>
      <c r="F1363" s="16">
        <v>335000</v>
      </c>
    </row>
    <row r="1364" spans="1:6" x14ac:dyDescent="0.2">
      <c r="A1364" s="8" t="s">
        <v>1532</v>
      </c>
      <c r="B1364" s="9">
        <v>16203205430</v>
      </c>
      <c r="C1364" s="10">
        <f ca="1">TODAY()-2290</f>
        <v>41931</v>
      </c>
      <c r="D1364" s="10" t="s">
        <v>2298</v>
      </c>
      <c r="E1364" s="12" t="s">
        <v>3428</v>
      </c>
      <c r="F1364" s="16">
        <v>495000</v>
      </c>
    </row>
    <row r="1365" spans="1:6" x14ac:dyDescent="0.2">
      <c r="A1365" s="8" t="s">
        <v>964</v>
      </c>
      <c r="B1365" s="9">
        <v>17509105201</v>
      </c>
      <c r="C1365" s="10">
        <f ca="1">TODAY()-1612</f>
        <v>42609</v>
      </c>
      <c r="D1365" s="10" t="s">
        <v>3384</v>
      </c>
      <c r="E1365" s="12" t="s">
        <v>3429</v>
      </c>
      <c r="F1365" s="16">
        <v>235000</v>
      </c>
    </row>
    <row r="1366" spans="1:6" x14ac:dyDescent="0.2">
      <c r="A1366" s="8" t="s">
        <v>1898</v>
      </c>
      <c r="B1366" s="9">
        <v>27208101244</v>
      </c>
      <c r="C1366" s="10">
        <f ca="1">TODAY()-3991</f>
        <v>40230</v>
      </c>
      <c r="D1366" s="10" t="s">
        <v>3381</v>
      </c>
      <c r="E1366" s="12" t="s">
        <v>3461</v>
      </c>
      <c r="F1366" s="16">
        <v>315000</v>
      </c>
    </row>
    <row r="1367" spans="1:6" x14ac:dyDescent="0.2">
      <c r="A1367" s="8" t="s">
        <v>2167</v>
      </c>
      <c r="B1367" s="9">
        <v>28612229741</v>
      </c>
      <c r="C1367" s="10">
        <f ca="1">TODAY()-2523</f>
        <v>41698</v>
      </c>
      <c r="D1367" s="10" t="s">
        <v>2289</v>
      </c>
      <c r="E1367" s="12" t="s">
        <v>3427</v>
      </c>
      <c r="F1367" s="16">
        <v>245000</v>
      </c>
    </row>
    <row r="1368" spans="1:6" x14ac:dyDescent="0.2">
      <c r="A1368" s="8" t="s">
        <v>1146</v>
      </c>
      <c r="B1368" s="9">
        <v>28905016072</v>
      </c>
      <c r="C1368" s="10">
        <f ca="1">TODAY()-2418</f>
        <v>41803</v>
      </c>
      <c r="D1368" s="10" t="s">
        <v>2300</v>
      </c>
      <c r="E1368" s="12" t="s">
        <v>3472</v>
      </c>
      <c r="F1368" s="16">
        <v>295000</v>
      </c>
    </row>
    <row r="1369" spans="1:6" x14ac:dyDescent="0.2">
      <c r="A1369" s="8" t="s">
        <v>1619</v>
      </c>
      <c r="B1369" s="9">
        <v>26804067745</v>
      </c>
      <c r="C1369" s="10">
        <f ca="1">TODAY()-590</f>
        <v>43631</v>
      </c>
      <c r="D1369" s="10" t="s">
        <v>2286</v>
      </c>
      <c r="E1369" s="12" t="s">
        <v>3420</v>
      </c>
      <c r="F1369" s="16">
        <v>365000</v>
      </c>
    </row>
    <row r="1370" spans="1:6" x14ac:dyDescent="0.2">
      <c r="A1370" s="8" t="s">
        <v>1138</v>
      </c>
      <c r="B1370" s="9">
        <v>16102201415</v>
      </c>
      <c r="C1370" s="10">
        <f ca="1">TODAY()-3358</f>
        <v>40863</v>
      </c>
      <c r="D1370" s="10" t="s">
        <v>3390</v>
      </c>
      <c r="E1370" s="12" t="s">
        <v>3415</v>
      </c>
      <c r="F1370" s="16">
        <v>185000</v>
      </c>
    </row>
    <row r="1371" spans="1:6" x14ac:dyDescent="0.2">
      <c r="A1371" s="8" t="s">
        <v>1461</v>
      </c>
      <c r="B1371" s="9">
        <v>17310148274</v>
      </c>
      <c r="C1371" s="10">
        <f ca="1">TODAY()-3747</f>
        <v>40474</v>
      </c>
      <c r="D1371" s="10" t="s">
        <v>2301</v>
      </c>
      <c r="E1371" s="12" t="s">
        <v>3538</v>
      </c>
      <c r="F1371" s="16">
        <v>220000</v>
      </c>
    </row>
    <row r="1372" spans="1:6" x14ac:dyDescent="0.2">
      <c r="A1372" s="8" t="s">
        <v>1364</v>
      </c>
      <c r="B1372" s="9">
        <v>17306207860</v>
      </c>
      <c r="C1372" s="10">
        <f ca="1">TODAY()-4056</f>
        <v>40165</v>
      </c>
      <c r="D1372" s="10" t="s">
        <v>2292</v>
      </c>
      <c r="E1372" s="12" t="s">
        <v>3493</v>
      </c>
      <c r="F1372" s="16">
        <v>500000</v>
      </c>
    </row>
    <row r="1373" spans="1:6" x14ac:dyDescent="0.2">
      <c r="A1373" s="8" t="s">
        <v>863</v>
      </c>
      <c r="B1373" s="9">
        <v>26905019153</v>
      </c>
      <c r="C1373" s="10">
        <f ca="1">TODAY()-4242</f>
        <v>39979</v>
      </c>
      <c r="D1373" s="10" t="s">
        <v>2292</v>
      </c>
      <c r="E1373" s="12" t="s">
        <v>3532</v>
      </c>
      <c r="F1373" s="16">
        <v>360000</v>
      </c>
    </row>
    <row r="1374" spans="1:6" x14ac:dyDescent="0.2">
      <c r="A1374" s="8" t="s">
        <v>825</v>
      </c>
      <c r="B1374" s="9">
        <v>27705109348</v>
      </c>
      <c r="C1374" s="10">
        <f ca="1">TODAY()-4823</f>
        <v>39398</v>
      </c>
      <c r="D1374" s="10" t="s">
        <v>3399</v>
      </c>
      <c r="E1374" s="12" t="s">
        <v>3537</v>
      </c>
      <c r="F1374" s="16">
        <v>295000</v>
      </c>
    </row>
    <row r="1375" spans="1:6" x14ac:dyDescent="0.2">
      <c r="A1375" s="8" t="s">
        <v>519</v>
      </c>
      <c r="B1375" s="9">
        <v>16207258832</v>
      </c>
      <c r="C1375" s="10">
        <f ca="1">TODAY()-2084</f>
        <v>42137</v>
      </c>
      <c r="D1375" s="10" t="s">
        <v>2288</v>
      </c>
      <c r="E1375" s="12" t="s">
        <v>3520</v>
      </c>
      <c r="F1375" s="16">
        <v>280000</v>
      </c>
    </row>
    <row r="1376" spans="1:6" x14ac:dyDescent="0.2">
      <c r="A1376" s="8" t="s">
        <v>726</v>
      </c>
      <c r="B1376" s="9">
        <v>16406063821</v>
      </c>
      <c r="C1376" s="10">
        <f ca="1">TODAY()-3073</f>
        <v>41148</v>
      </c>
      <c r="D1376" s="10" t="s">
        <v>2293</v>
      </c>
      <c r="E1376" s="12" t="s">
        <v>3453</v>
      </c>
      <c r="F1376" s="16">
        <v>370000</v>
      </c>
    </row>
    <row r="1377" spans="1:6" x14ac:dyDescent="0.2">
      <c r="A1377" s="8" t="s">
        <v>1937</v>
      </c>
      <c r="B1377" s="9">
        <v>27907133435</v>
      </c>
      <c r="C1377" s="10">
        <f ca="1">TODAY()-3979</f>
        <v>40242</v>
      </c>
      <c r="D1377" s="10" t="s">
        <v>3399</v>
      </c>
      <c r="E1377" s="12" t="s">
        <v>3477</v>
      </c>
      <c r="F1377" s="16">
        <v>335000</v>
      </c>
    </row>
    <row r="1378" spans="1:6" x14ac:dyDescent="0.2">
      <c r="A1378" s="8" t="s">
        <v>1867</v>
      </c>
      <c r="B1378" s="9">
        <v>28809104804</v>
      </c>
      <c r="C1378" s="10">
        <f ca="1">TODAY()-924</f>
        <v>43297</v>
      </c>
      <c r="D1378" s="10" t="s">
        <v>2290</v>
      </c>
      <c r="E1378" s="12" t="s">
        <v>2290</v>
      </c>
      <c r="F1378" s="16">
        <v>255000</v>
      </c>
    </row>
    <row r="1379" spans="1:6" x14ac:dyDescent="0.2">
      <c r="A1379" s="8" t="s">
        <v>1287</v>
      </c>
      <c r="B1379" s="9">
        <v>26909256349</v>
      </c>
      <c r="C1379" s="10">
        <f ca="1">TODAY()-2976</f>
        <v>41245</v>
      </c>
      <c r="D1379" s="10" t="s">
        <v>3387</v>
      </c>
      <c r="E1379" s="12" t="s">
        <v>3484</v>
      </c>
      <c r="F1379" s="16">
        <v>325000</v>
      </c>
    </row>
    <row r="1380" spans="1:6" x14ac:dyDescent="0.2">
      <c r="A1380" s="8" t="s">
        <v>590</v>
      </c>
      <c r="B1380" s="9">
        <v>17704049573</v>
      </c>
      <c r="C1380" s="10">
        <f ca="1">TODAY()-1060</f>
        <v>43161</v>
      </c>
      <c r="D1380" s="10" t="s">
        <v>3401</v>
      </c>
      <c r="E1380" s="12" t="s">
        <v>3564</v>
      </c>
      <c r="F1380" s="16">
        <v>445000</v>
      </c>
    </row>
    <row r="1381" spans="1:6" x14ac:dyDescent="0.2">
      <c r="A1381" s="8" t="s">
        <v>1725</v>
      </c>
      <c r="B1381" s="9">
        <v>18511054761</v>
      </c>
      <c r="C1381" s="10">
        <f ca="1">TODAY()-2795</f>
        <v>41426</v>
      </c>
      <c r="D1381" s="10" t="s">
        <v>3391</v>
      </c>
      <c r="E1381" s="12" t="s">
        <v>3539</v>
      </c>
      <c r="F1381" s="16">
        <v>250000</v>
      </c>
    </row>
    <row r="1382" spans="1:6" x14ac:dyDescent="0.2">
      <c r="A1382" s="8" t="s">
        <v>681</v>
      </c>
      <c r="B1382" s="9">
        <v>17407117734</v>
      </c>
      <c r="C1382" s="10">
        <f ca="1">TODAY()-1641</f>
        <v>42580</v>
      </c>
      <c r="D1382" s="10" t="s">
        <v>3397</v>
      </c>
      <c r="E1382" s="12" t="s">
        <v>3485</v>
      </c>
      <c r="F1382" s="16">
        <v>315000</v>
      </c>
    </row>
    <row r="1383" spans="1:6" x14ac:dyDescent="0.2">
      <c r="A1383" s="8" t="s">
        <v>1834</v>
      </c>
      <c r="B1383" s="9">
        <v>28304149630</v>
      </c>
      <c r="C1383" s="10">
        <f ca="1">TODAY()-3676</f>
        <v>40545</v>
      </c>
      <c r="D1383" s="10" t="s">
        <v>3378</v>
      </c>
      <c r="E1383" s="12" t="s">
        <v>3478</v>
      </c>
      <c r="F1383" s="16">
        <v>500000</v>
      </c>
    </row>
    <row r="1384" spans="1:6" x14ac:dyDescent="0.2">
      <c r="A1384" s="8" t="s">
        <v>1079</v>
      </c>
      <c r="B1384" s="9">
        <v>28212276060</v>
      </c>
      <c r="C1384" s="10">
        <f ca="1">TODAY()-615</f>
        <v>43606</v>
      </c>
      <c r="D1384" s="10" t="s">
        <v>3383</v>
      </c>
      <c r="E1384" s="12" t="s">
        <v>3407</v>
      </c>
      <c r="F1384" s="16">
        <v>445000</v>
      </c>
    </row>
    <row r="1385" spans="1:6" x14ac:dyDescent="0.2">
      <c r="A1385" s="8" t="s">
        <v>2110</v>
      </c>
      <c r="B1385" s="9">
        <v>27406048512</v>
      </c>
      <c r="C1385" s="10">
        <f ca="1">TODAY()-3970</f>
        <v>40251</v>
      </c>
      <c r="D1385" s="10" t="s">
        <v>3390</v>
      </c>
      <c r="E1385" s="12" t="s">
        <v>3510</v>
      </c>
      <c r="F1385" s="16">
        <v>310000</v>
      </c>
    </row>
    <row r="1386" spans="1:6" x14ac:dyDescent="0.2">
      <c r="A1386" s="8" t="s">
        <v>769</v>
      </c>
      <c r="B1386" s="9">
        <v>27201108970</v>
      </c>
      <c r="C1386" s="10">
        <f ca="1">TODAY()-4410</f>
        <v>39811</v>
      </c>
      <c r="D1386" s="10" t="s">
        <v>2290</v>
      </c>
      <c r="E1386" s="12" t="s">
        <v>3559</v>
      </c>
      <c r="F1386" s="16">
        <v>495000</v>
      </c>
    </row>
    <row r="1387" spans="1:6" x14ac:dyDescent="0.2">
      <c r="A1387" s="8" t="s">
        <v>1092</v>
      </c>
      <c r="B1387" s="9">
        <v>17710122533</v>
      </c>
      <c r="C1387" s="10">
        <f ca="1">TODAY()-4154</f>
        <v>40067</v>
      </c>
      <c r="D1387" s="10" t="s">
        <v>3380</v>
      </c>
      <c r="E1387" s="12" t="s">
        <v>3438</v>
      </c>
      <c r="F1387" s="16">
        <v>265000</v>
      </c>
    </row>
    <row r="1388" spans="1:6" x14ac:dyDescent="0.2">
      <c r="A1388" s="8" t="s">
        <v>2168</v>
      </c>
      <c r="B1388" s="9">
        <v>17809177110</v>
      </c>
      <c r="C1388" s="10">
        <f ca="1">TODAY()-2527</f>
        <v>41694</v>
      </c>
      <c r="D1388" s="10" t="s">
        <v>3383</v>
      </c>
      <c r="E1388" s="12" t="s">
        <v>3443</v>
      </c>
      <c r="F1388" s="16">
        <v>330000</v>
      </c>
    </row>
    <row r="1389" spans="1:6" x14ac:dyDescent="0.2">
      <c r="A1389" s="8" t="s">
        <v>553</v>
      </c>
      <c r="B1389" s="9">
        <v>26205174080</v>
      </c>
      <c r="C1389" s="10">
        <f ca="1">TODAY()-3894</f>
        <v>40327</v>
      </c>
      <c r="D1389" s="10" t="s">
        <v>2288</v>
      </c>
      <c r="E1389" s="12" t="s">
        <v>3434</v>
      </c>
      <c r="F1389" s="16">
        <v>320000</v>
      </c>
    </row>
    <row r="1390" spans="1:6" x14ac:dyDescent="0.2">
      <c r="A1390" s="8" t="s">
        <v>2242</v>
      </c>
      <c r="B1390" s="9">
        <v>16007273175</v>
      </c>
      <c r="C1390" s="10">
        <f ca="1">TODAY()-3095</f>
        <v>41126</v>
      </c>
      <c r="D1390" s="10" t="s">
        <v>3398</v>
      </c>
      <c r="E1390" s="12" t="s">
        <v>3415</v>
      </c>
      <c r="F1390" s="16">
        <v>445000</v>
      </c>
    </row>
    <row r="1391" spans="1:6" x14ac:dyDescent="0.2">
      <c r="A1391" s="8" t="s">
        <v>445</v>
      </c>
      <c r="B1391" s="9">
        <v>18612278607</v>
      </c>
      <c r="C1391" s="10">
        <f ca="1">TODAY()-1298</f>
        <v>42923</v>
      </c>
      <c r="D1391" s="10" t="s">
        <v>3397</v>
      </c>
      <c r="E1391" s="12" t="s">
        <v>3426</v>
      </c>
      <c r="F1391" s="16">
        <v>325000</v>
      </c>
    </row>
    <row r="1392" spans="1:6" x14ac:dyDescent="0.2">
      <c r="A1392" s="8" t="s">
        <v>528</v>
      </c>
      <c r="B1392" s="9">
        <v>26703187746</v>
      </c>
      <c r="C1392" s="10">
        <f ca="1">TODAY()-2357</f>
        <v>41864</v>
      </c>
      <c r="D1392" s="10" t="s">
        <v>3387</v>
      </c>
      <c r="E1392" s="12" t="s">
        <v>3543</v>
      </c>
      <c r="F1392" s="16">
        <v>450000</v>
      </c>
    </row>
    <row r="1393" spans="1:6" x14ac:dyDescent="0.2">
      <c r="A1393" s="8" t="s">
        <v>2112</v>
      </c>
      <c r="B1393" s="9">
        <v>27108107215</v>
      </c>
      <c r="C1393" s="10">
        <f ca="1">TODAY()-3726</f>
        <v>40495</v>
      </c>
      <c r="D1393" s="10" t="s">
        <v>3393</v>
      </c>
      <c r="E1393" s="12" t="s">
        <v>3535</v>
      </c>
      <c r="F1393" s="16">
        <v>460000</v>
      </c>
    </row>
    <row r="1394" spans="1:6" x14ac:dyDescent="0.2">
      <c r="A1394" s="8" t="s">
        <v>1093</v>
      </c>
      <c r="B1394" s="9">
        <v>27002011750</v>
      </c>
      <c r="C1394" s="10">
        <f ca="1">TODAY()-37</f>
        <v>44184</v>
      </c>
      <c r="D1394" s="10" t="s">
        <v>2287</v>
      </c>
      <c r="E1394" s="12" t="s">
        <v>3441</v>
      </c>
      <c r="F1394" s="16">
        <v>435000</v>
      </c>
    </row>
    <row r="1395" spans="1:6" x14ac:dyDescent="0.2">
      <c r="A1395" s="8" t="s">
        <v>1765</v>
      </c>
      <c r="B1395" s="9">
        <v>17806117773</v>
      </c>
      <c r="C1395" s="10">
        <f ca="1">TODAY()-4511</f>
        <v>39710</v>
      </c>
      <c r="D1395" s="10" t="s">
        <v>2287</v>
      </c>
      <c r="E1395" s="12" t="s">
        <v>3477</v>
      </c>
      <c r="F1395" s="16">
        <v>270000</v>
      </c>
    </row>
    <row r="1396" spans="1:6" x14ac:dyDescent="0.2">
      <c r="A1396" s="8" t="s">
        <v>1646</v>
      </c>
      <c r="B1396" s="9">
        <v>28906016056</v>
      </c>
      <c r="C1396" s="10">
        <f ca="1">TODAY()-3789</f>
        <v>40432</v>
      </c>
      <c r="D1396" s="10" t="s">
        <v>3392</v>
      </c>
      <c r="E1396" s="12" t="s">
        <v>3558</v>
      </c>
      <c r="F1396" s="16">
        <v>250000</v>
      </c>
    </row>
    <row r="1397" spans="1:6" x14ac:dyDescent="0.2">
      <c r="A1397" s="8" t="s">
        <v>523</v>
      </c>
      <c r="B1397" s="9">
        <v>27601213802</v>
      </c>
      <c r="C1397" s="10">
        <f ca="1">TODAY()-678</f>
        <v>43543</v>
      </c>
      <c r="D1397" s="10" t="s">
        <v>3395</v>
      </c>
      <c r="E1397" s="12" t="s">
        <v>3560</v>
      </c>
      <c r="F1397" s="16">
        <v>240000</v>
      </c>
    </row>
    <row r="1398" spans="1:6" x14ac:dyDescent="0.2">
      <c r="A1398" s="8" t="s">
        <v>2182</v>
      </c>
      <c r="B1398" s="9">
        <v>28707029291</v>
      </c>
      <c r="C1398" s="10">
        <f ca="1">TODAY()-3290</f>
        <v>40931</v>
      </c>
      <c r="D1398" s="10" t="s">
        <v>3387</v>
      </c>
      <c r="E1398" s="12" t="s">
        <v>3480</v>
      </c>
      <c r="F1398" s="16">
        <v>265000</v>
      </c>
    </row>
    <row r="1399" spans="1:6" x14ac:dyDescent="0.2">
      <c r="A1399" s="8" t="s">
        <v>860</v>
      </c>
      <c r="B1399" s="9">
        <v>18812033921</v>
      </c>
      <c r="C1399" s="10">
        <f ca="1">TODAY()-3527</f>
        <v>40694</v>
      </c>
      <c r="D1399" s="10" t="s">
        <v>3387</v>
      </c>
      <c r="E1399" s="12" t="s">
        <v>3426</v>
      </c>
      <c r="F1399" s="16">
        <v>500000</v>
      </c>
    </row>
    <row r="1400" spans="1:6" x14ac:dyDescent="0.2">
      <c r="A1400" s="8" t="s">
        <v>1910</v>
      </c>
      <c r="B1400" s="9">
        <v>27009234522</v>
      </c>
      <c r="C1400" s="10">
        <f ca="1">TODAY()-680</f>
        <v>43541</v>
      </c>
      <c r="D1400" s="10" t="s">
        <v>3394</v>
      </c>
      <c r="E1400" s="12" t="s">
        <v>3411</v>
      </c>
      <c r="F1400" s="16">
        <v>380000</v>
      </c>
    </row>
    <row r="1401" spans="1:6" x14ac:dyDescent="0.2">
      <c r="A1401" s="8" t="s">
        <v>1964</v>
      </c>
      <c r="B1401" s="9">
        <v>16611025735</v>
      </c>
      <c r="C1401" s="10">
        <f ca="1">TODAY()-2380</f>
        <v>41841</v>
      </c>
      <c r="D1401" s="10" t="s">
        <v>3383</v>
      </c>
      <c r="E1401" s="12" t="s">
        <v>3469</v>
      </c>
      <c r="F1401" s="16">
        <v>350000</v>
      </c>
    </row>
    <row r="1402" spans="1:6" x14ac:dyDescent="0.2">
      <c r="A1402" s="8" t="s">
        <v>1998</v>
      </c>
      <c r="B1402" s="9">
        <v>18007262313</v>
      </c>
      <c r="C1402" s="10">
        <f ca="1">TODAY()-4267</f>
        <v>39954</v>
      </c>
      <c r="D1402" s="10" t="s">
        <v>3386</v>
      </c>
      <c r="E1402" s="12" t="s">
        <v>3554</v>
      </c>
      <c r="F1402" s="16">
        <v>370000</v>
      </c>
    </row>
    <row r="1403" spans="1:6" x14ac:dyDescent="0.2">
      <c r="A1403" s="8" t="s">
        <v>1144</v>
      </c>
      <c r="B1403" s="9">
        <v>26911273752</v>
      </c>
      <c r="C1403" s="10">
        <f ca="1">TODAY()-1655</f>
        <v>42566</v>
      </c>
      <c r="D1403" s="10" t="s">
        <v>3387</v>
      </c>
      <c r="E1403" s="12" t="s">
        <v>3540</v>
      </c>
      <c r="F1403" s="16">
        <v>340000</v>
      </c>
    </row>
    <row r="1404" spans="1:6" x14ac:dyDescent="0.2">
      <c r="A1404" s="8" t="s">
        <v>1776</v>
      </c>
      <c r="B1404" s="9">
        <v>18507056260</v>
      </c>
      <c r="C1404" s="10">
        <f ca="1">TODAY()-772</f>
        <v>43449</v>
      </c>
      <c r="D1404" s="10" t="s">
        <v>2288</v>
      </c>
      <c r="E1404" s="12" t="s">
        <v>3513</v>
      </c>
      <c r="F1404" s="16">
        <v>310000</v>
      </c>
    </row>
    <row r="1405" spans="1:6" x14ac:dyDescent="0.2">
      <c r="A1405" s="8" t="s">
        <v>703</v>
      </c>
      <c r="B1405" s="9">
        <v>27205239158</v>
      </c>
      <c r="C1405" s="10">
        <f ca="1">TODAY()-3639</f>
        <v>40582</v>
      </c>
      <c r="D1405" s="10" t="s">
        <v>3394</v>
      </c>
      <c r="E1405" s="12" t="s">
        <v>3394</v>
      </c>
      <c r="F1405" s="16">
        <v>385000</v>
      </c>
    </row>
    <row r="1406" spans="1:6" x14ac:dyDescent="0.2">
      <c r="A1406" s="8" t="s">
        <v>2254</v>
      </c>
      <c r="B1406" s="9">
        <v>26012082233</v>
      </c>
      <c r="C1406" s="10">
        <f ca="1">TODAY()-4356</f>
        <v>39865</v>
      </c>
      <c r="D1406" s="10" t="s">
        <v>2290</v>
      </c>
      <c r="E1406" s="12" t="s">
        <v>3513</v>
      </c>
      <c r="F1406" s="16">
        <v>195000</v>
      </c>
    </row>
    <row r="1407" spans="1:6" x14ac:dyDescent="0.2">
      <c r="A1407" s="8" t="s">
        <v>532</v>
      </c>
      <c r="B1407" s="9">
        <v>27206014337</v>
      </c>
      <c r="C1407" s="10">
        <f ca="1">TODAY()-637</f>
        <v>43584</v>
      </c>
      <c r="D1407" s="10" t="s">
        <v>3395</v>
      </c>
      <c r="E1407" s="12" t="s">
        <v>3540</v>
      </c>
      <c r="F1407" s="16">
        <v>250000</v>
      </c>
    </row>
    <row r="1408" spans="1:6" x14ac:dyDescent="0.2">
      <c r="A1408" s="8" t="s">
        <v>1838</v>
      </c>
      <c r="B1408" s="9">
        <v>16607083275</v>
      </c>
      <c r="C1408" s="10">
        <f ca="1">TODAY()-3818</f>
        <v>40403</v>
      </c>
      <c r="D1408" s="10" t="s">
        <v>3392</v>
      </c>
      <c r="E1408" s="12" t="s">
        <v>3562</v>
      </c>
      <c r="F1408" s="16">
        <v>370000</v>
      </c>
    </row>
    <row r="1409" spans="1:6" x14ac:dyDescent="0.2">
      <c r="A1409" s="8" t="s">
        <v>1879</v>
      </c>
      <c r="B1409" s="9">
        <v>27007135475</v>
      </c>
      <c r="C1409" s="10">
        <f ca="1">TODAY()-3007</f>
        <v>41214</v>
      </c>
      <c r="D1409" s="10" t="s">
        <v>3380</v>
      </c>
      <c r="E1409" s="12" t="s">
        <v>3495</v>
      </c>
      <c r="F1409" s="16">
        <v>390000</v>
      </c>
    </row>
    <row r="1410" spans="1:6" x14ac:dyDescent="0.2">
      <c r="A1410" s="8" t="s">
        <v>480</v>
      </c>
      <c r="B1410" s="9">
        <v>27206083911</v>
      </c>
      <c r="C1410" s="10">
        <f ca="1">TODAY()-2197</f>
        <v>42024</v>
      </c>
      <c r="D1410" s="10" t="s">
        <v>2299</v>
      </c>
      <c r="E1410" s="12" t="s">
        <v>3430</v>
      </c>
      <c r="F1410" s="16">
        <v>180000</v>
      </c>
    </row>
    <row r="1411" spans="1:6" x14ac:dyDescent="0.2">
      <c r="A1411" s="8" t="s">
        <v>1184</v>
      </c>
      <c r="B1411" s="9">
        <v>18406258515</v>
      </c>
      <c r="C1411" s="10">
        <f ca="1">TODAY()-64</f>
        <v>44157</v>
      </c>
      <c r="D1411" s="10" t="s">
        <v>2302</v>
      </c>
      <c r="E1411" s="12" t="s">
        <v>3539</v>
      </c>
      <c r="F1411" s="16">
        <v>340000</v>
      </c>
    </row>
    <row r="1412" spans="1:6" x14ac:dyDescent="0.2">
      <c r="A1412" s="8" t="s">
        <v>1904</v>
      </c>
      <c r="B1412" s="9">
        <v>18606138629</v>
      </c>
      <c r="C1412" s="10">
        <f ca="1">TODAY()-4212</f>
        <v>40009</v>
      </c>
      <c r="D1412" s="10" t="s">
        <v>3392</v>
      </c>
      <c r="E1412" s="12" t="s">
        <v>3457</v>
      </c>
      <c r="F1412" s="16">
        <v>200000</v>
      </c>
    </row>
    <row r="1413" spans="1:6" x14ac:dyDescent="0.2">
      <c r="A1413" s="8" t="s">
        <v>1524</v>
      </c>
      <c r="B1413" s="9">
        <v>26407206677</v>
      </c>
      <c r="C1413" s="10">
        <f ca="1">TODAY()-703</f>
        <v>43518</v>
      </c>
      <c r="D1413" s="10" t="s">
        <v>3393</v>
      </c>
      <c r="E1413" s="12" t="s">
        <v>3545</v>
      </c>
      <c r="F1413" s="16">
        <v>250000</v>
      </c>
    </row>
    <row r="1414" spans="1:6" x14ac:dyDescent="0.2">
      <c r="A1414" s="8" t="s">
        <v>2281</v>
      </c>
      <c r="B1414" s="9">
        <v>16908136058</v>
      </c>
      <c r="C1414" s="10">
        <f ca="1">TODAY()-3288</f>
        <v>40933</v>
      </c>
      <c r="D1414" s="10" t="s">
        <v>3380</v>
      </c>
      <c r="E1414" s="12" t="s">
        <v>3497</v>
      </c>
      <c r="F1414" s="16">
        <v>415000</v>
      </c>
    </row>
    <row r="1415" spans="1:6" x14ac:dyDescent="0.2">
      <c r="A1415" s="8" t="s">
        <v>2276</v>
      </c>
      <c r="B1415" s="9">
        <v>27202097543</v>
      </c>
      <c r="C1415" s="10">
        <f ca="1">TODAY()-2807</f>
        <v>41414</v>
      </c>
      <c r="D1415" s="10" t="s">
        <v>3385</v>
      </c>
      <c r="E1415" s="12" t="s">
        <v>3546</v>
      </c>
      <c r="F1415" s="16">
        <v>350000</v>
      </c>
    </row>
    <row r="1416" spans="1:6" x14ac:dyDescent="0.2">
      <c r="A1416" s="8" t="s">
        <v>1884</v>
      </c>
      <c r="B1416" s="9">
        <v>29009148105</v>
      </c>
      <c r="C1416" s="10">
        <f ca="1">TODAY()-3555</f>
        <v>40666</v>
      </c>
      <c r="D1416" s="10" t="s">
        <v>3397</v>
      </c>
      <c r="E1416" s="12" t="s">
        <v>3438</v>
      </c>
      <c r="F1416" s="16">
        <v>340000</v>
      </c>
    </row>
    <row r="1417" spans="1:6" x14ac:dyDescent="0.2">
      <c r="A1417" s="8" t="s">
        <v>2028</v>
      </c>
      <c r="B1417" s="9">
        <v>16008121504</v>
      </c>
      <c r="C1417" s="10">
        <f ca="1">TODAY()-422</f>
        <v>43799</v>
      </c>
      <c r="D1417" s="10" t="s">
        <v>2300</v>
      </c>
      <c r="E1417" s="12" t="s">
        <v>3452</v>
      </c>
      <c r="F1417" s="16">
        <v>420000</v>
      </c>
    </row>
    <row r="1418" spans="1:6" x14ac:dyDescent="0.2">
      <c r="A1418" s="8" t="s">
        <v>1341</v>
      </c>
      <c r="B1418" s="9">
        <v>26406154174</v>
      </c>
      <c r="C1418" s="10">
        <f ca="1">TODAY()-2629</f>
        <v>41592</v>
      </c>
      <c r="D1418" s="10" t="s">
        <v>3395</v>
      </c>
      <c r="E1418" s="12" t="s">
        <v>3395</v>
      </c>
      <c r="F1418" s="16">
        <v>215000</v>
      </c>
    </row>
    <row r="1419" spans="1:6" x14ac:dyDescent="0.2">
      <c r="A1419" s="8" t="s">
        <v>1024</v>
      </c>
      <c r="B1419" s="9">
        <v>27506115073</v>
      </c>
      <c r="C1419" s="10">
        <f ca="1">TODAY()-1381</f>
        <v>42840</v>
      </c>
      <c r="D1419" s="10" t="s">
        <v>3392</v>
      </c>
      <c r="E1419" s="12" t="s">
        <v>3439</v>
      </c>
      <c r="F1419" s="16">
        <v>300000</v>
      </c>
    </row>
    <row r="1420" spans="1:6" x14ac:dyDescent="0.2">
      <c r="A1420" s="8" t="s">
        <v>1425</v>
      </c>
      <c r="B1420" s="9">
        <v>28201096707</v>
      </c>
      <c r="C1420" s="10">
        <f ca="1">TODAY()-2029</f>
        <v>42192</v>
      </c>
      <c r="D1420" s="10" t="s">
        <v>3398</v>
      </c>
      <c r="E1420" s="12" t="s">
        <v>3535</v>
      </c>
      <c r="F1420" s="16">
        <v>445000</v>
      </c>
    </row>
    <row r="1421" spans="1:6" x14ac:dyDescent="0.2">
      <c r="A1421" s="8" t="s">
        <v>473</v>
      </c>
      <c r="B1421" s="9">
        <v>17809162871</v>
      </c>
      <c r="C1421" s="10">
        <f ca="1">TODAY()-417</f>
        <v>43804</v>
      </c>
      <c r="D1421" s="10" t="s">
        <v>2290</v>
      </c>
      <c r="E1421" s="12" t="s">
        <v>3479</v>
      </c>
      <c r="F1421" s="16">
        <v>195000</v>
      </c>
    </row>
    <row r="1422" spans="1:6" x14ac:dyDescent="0.2">
      <c r="A1422" s="8" t="s">
        <v>663</v>
      </c>
      <c r="B1422" s="9">
        <v>18310169221</v>
      </c>
      <c r="C1422" s="10">
        <f ca="1">TODAY()-3785</f>
        <v>40436</v>
      </c>
      <c r="D1422" s="10" t="s">
        <v>2298</v>
      </c>
      <c r="E1422" s="12" t="s">
        <v>3507</v>
      </c>
      <c r="F1422" s="16">
        <v>345000</v>
      </c>
    </row>
    <row r="1423" spans="1:6" x14ac:dyDescent="0.2">
      <c r="A1423" s="8" t="s">
        <v>1197</v>
      </c>
      <c r="B1423" s="9">
        <v>16111023999</v>
      </c>
      <c r="C1423" s="10">
        <f ca="1">TODAY()-4102</f>
        <v>40119</v>
      </c>
      <c r="D1423" s="10" t="s">
        <v>2288</v>
      </c>
      <c r="E1423" s="12" t="s">
        <v>3540</v>
      </c>
      <c r="F1423" s="16">
        <v>430000</v>
      </c>
    </row>
    <row r="1424" spans="1:6" x14ac:dyDescent="0.2">
      <c r="A1424" s="8" t="s">
        <v>1836</v>
      </c>
      <c r="B1424" s="9">
        <v>26703266938</v>
      </c>
      <c r="C1424" s="10">
        <f ca="1">TODAY()-940</f>
        <v>43281</v>
      </c>
      <c r="D1424" s="10" t="s">
        <v>2288</v>
      </c>
      <c r="E1424" s="12" t="s">
        <v>3508</v>
      </c>
      <c r="F1424" s="16">
        <v>350000</v>
      </c>
    </row>
    <row r="1425" spans="1:6" x14ac:dyDescent="0.2">
      <c r="A1425" s="8" t="s">
        <v>1131</v>
      </c>
      <c r="B1425" s="9">
        <v>17607107631</v>
      </c>
      <c r="C1425" s="10">
        <f ca="1">TODAY()-4311</f>
        <v>39910</v>
      </c>
      <c r="D1425" s="10" t="s">
        <v>2304</v>
      </c>
      <c r="E1425" s="12" t="s">
        <v>3542</v>
      </c>
      <c r="F1425" s="16">
        <v>315000</v>
      </c>
    </row>
    <row r="1426" spans="1:6" x14ac:dyDescent="0.2">
      <c r="A1426" s="8" t="s">
        <v>1304</v>
      </c>
      <c r="B1426" s="9">
        <v>27312091926</v>
      </c>
      <c r="C1426" s="10">
        <f ca="1">TODAY()-4736</f>
        <v>39485</v>
      </c>
      <c r="D1426" s="10" t="s">
        <v>2285</v>
      </c>
      <c r="E1426" s="12" t="s">
        <v>3419</v>
      </c>
      <c r="F1426" s="16">
        <v>345000</v>
      </c>
    </row>
    <row r="1427" spans="1:6" x14ac:dyDescent="0.2">
      <c r="A1427" s="8" t="s">
        <v>2003</v>
      </c>
      <c r="B1427" s="9">
        <v>28307023758</v>
      </c>
      <c r="C1427" s="10">
        <f ca="1">TODAY()-2100</f>
        <v>42121</v>
      </c>
      <c r="D1427" s="10" t="s">
        <v>2303</v>
      </c>
      <c r="E1427" s="12" t="s">
        <v>3523</v>
      </c>
      <c r="F1427" s="16">
        <v>405000</v>
      </c>
    </row>
    <row r="1428" spans="1:6" x14ac:dyDescent="0.2">
      <c r="A1428" s="8" t="s">
        <v>1415</v>
      </c>
      <c r="B1428" s="9">
        <v>26812174260</v>
      </c>
      <c r="C1428" s="10">
        <f ca="1">TODAY()-2658</f>
        <v>41563</v>
      </c>
      <c r="D1428" s="10" t="s">
        <v>3395</v>
      </c>
      <c r="E1428" s="12" t="s">
        <v>3531</v>
      </c>
      <c r="F1428" s="16">
        <v>460000</v>
      </c>
    </row>
    <row r="1429" spans="1:6" x14ac:dyDescent="0.2">
      <c r="A1429" s="8" t="s">
        <v>2206</v>
      </c>
      <c r="B1429" s="9">
        <v>18609241138</v>
      </c>
      <c r="C1429" s="10">
        <f ca="1">TODAY()-4671</f>
        <v>39550</v>
      </c>
      <c r="D1429" s="10" t="s">
        <v>2300</v>
      </c>
      <c r="E1429" s="12" t="s">
        <v>2300</v>
      </c>
      <c r="F1429" s="16">
        <v>500000</v>
      </c>
    </row>
    <row r="1430" spans="1:6" x14ac:dyDescent="0.2">
      <c r="A1430" s="8" t="s">
        <v>1603</v>
      </c>
      <c r="B1430" s="9">
        <v>17809128427</v>
      </c>
      <c r="C1430" s="10">
        <f ca="1">TODAY()-4210</f>
        <v>40011</v>
      </c>
      <c r="D1430" s="10" t="s">
        <v>3387</v>
      </c>
      <c r="E1430" s="12" t="s">
        <v>3408</v>
      </c>
      <c r="F1430" s="16">
        <v>465000</v>
      </c>
    </row>
    <row r="1431" spans="1:6" x14ac:dyDescent="0.2">
      <c r="A1431" s="8" t="s">
        <v>1400</v>
      </c>
      <c r="B1431" s="9">
        <v>26512117319</v>
      </c>
      <c r="C1431" s="10">
        <f ca="1">TODAY()-335</f>
        <v>43886</v>
      </c>
      <c r="D1431" s="10" t="s">
        <v>3390</v>
      </c>
      <c r="E1431" s="12" t="s">
        <v>3519</v>
      </c>
      <c r="F1431" s="16">
        <v>325000</v>
      </c>
    </row>
    <row r="1432" spans="1:6" x14ac:dyDescent="0.2">
      <c r="A1432" s="8" t="s">
        <v>1421</v>
      </c>
      <c r="B1432" s="9">
        <v>27308063618</v>
      </c>
      <c r="C1432" s="10">
        <f ca="1">TODAY()-2106</f>
        <v>42115</v>
      </c>
      <c r="D1432" s="10" t="s">
        <v>3386</v>
      </c>
      <c r="E1432" s="12" t="s">
        <v>3410</v>
      </c>
      <c r="F1432" s="16">
        <v>230000</v>
      </c>
    </row>
    <row r="1433" spans="1:6" x14ac:dyDescent="0.2">
      <c r="A1433" s="8" t="s">
        <v>1213</v>
      </c>
      <c r="B1433" s="9">
        <v>16505147635</v>
      </c>
      <c r="C1433" s="10">
        <f ca="1">TODAY()-3568</f>
        <v>40653</v>
      </c>
      <c r="D1433" s="10" t="s">
        <v>3394</v>
      </c>
      <c r="E1433" s="12" t="s">
        <v>3537</v>
      </c>
      <c r="F1433" s="16">
        <v>490000</v>
      </c>
    </row>
    <row r="1434" spans="1:6" x14ac:dyDescent="0.2">
      <c r="A1434" s="8" t="s">
        <v>1635</v>
      </c>
      <c r="B1434" s="9">
        <v>16709203207</v>
      </c>
      <c r="C1434" s="10">
        <f ca="1">TODAY()-327</f>
        <v>43894</v>
      </c>
      <c r="D1434" s="10" t="s">
        <v>2301</v>
      </c>
      <c r="E1434" s="12" t="s">
        <v>3529</v>
      </c>
      <c r="F1434" s="16">
        <v>500000</v>
      </c>
    </row>
    <row r="1435" spans="1:6" x14ac:dyDescent="0.2">
      <c r="A1435" s="8" t="s">
        <v>1980</v>
      </c>
      <c r="B1435" s="9">
        <v>27410208838</v>
      </c>
      <c r="C1435" s="10">
        <f ca="1">TODAY()-2966</f>
        <v>41255</v>
      </c>
      <c r="D1435" s="10" t="s">
        <v>3398</v>
      </c>
      <c r="E1435" s="12" t="s">
        <v>3398</v>
      </c>
      <c r="F1435" s="16">
        <v>265000</v>
      </c>
    </row>
    <row r="1436" spans="1:6" x14ac:dyDescent="0.2">
      <c r="A1436" s="8" t="s">
        <v>1263</v>
      </c>
      <c r="B1436" s="9">
        <v>16005142355</v>
      </c>
      <c r="C1436" s="10">
        <f ca="1">TODAY()-445</f>
        <v>43776</v>
      </c>
      <c r="D1436" s="10" t="s">
        <v>3380</v>
      </c>
      <c r="E1436" s="12" t="s">
        <v>3380</v>
      </c>
      <c r="F1436" s="16">
        <v>455000</v>
      </c>
    </row>
    <row r="1437" spans="1:6" x14ac:dyDescent="0.2">
      <c r="A1437" s="8" t="s">
        <v>421</v>
      </c>
      <c r="B1437" s="9">
        <v>18506044594</v>
      </c>
      <c r="C1437" s="10">
        <f ca="1">TODAY()-3204</f>
        <v>41017</v>
      </c>
      <c r="D1437" s="10" t="s">
        <v>2302</v>
      </c>
      <c r="E1437" s="12" t="s">
        <v>3493</v>
      </c>
      <c r="F1437" s="16">
        <v>315000</v>
      </c>
    </row>
    <row r="1438" spans="1:6" x14ac:dyDescent="0.2">
      <c r="A1438" s="8" t="s">
        <v>1818</v>
      </c>
      <c r="B1438" s="9">
        <v>27103252398</v>
      </c>
      <c r="C1438" s="10">
        <f ca="1">TODAY()-2942</f>
        <v>41279</v>
      </c>
      <c r="D1438" s="10" t="s">
        <v>3389</v>
      </c>
      <c r="E1438" s="12" t="s">
        <v>3419</v>
      </c>
      <c r="F1438" s="16">
        <v>490000</v>
      </c>
    </row>
    <row r="1439" spans="1:6" x14ac:dyDescent="0.2">
      <c r="A1439" s="8" t="s">
        <v>788</v>
      </c>
      <c r="B1439" s="9">
        <v>26811108798</v>
      </c>
      <c r="C1439" s="10">
        <f ca="1">TODAY()-1453</f>
        <v>42768</v>
      </c>
      <c r="D1439" s="10" t="s">
        <v>3391</v>
      </c>
      <c r="E1439" s="12" t="s">
        <v>3412</v>
      </c>
      <c r="F1439" s="16">
        <v>435000</v>
      </c>
    </row>
    <row r="1440" spans="1:6" x14ac:dyDescent="0.2">
      <c r="A1440" s="8" t="s">
        <v>660</v>
      </c>
      <c r="B1440" s="9">
        <v>16308166489</v>
      </c>
      <c r="C1440" s="10">
        <f ca="1">TODAY()-620</f>
        <v>43601</v>
      </c>
      <c r="D1440" s="10" t="s">
        <v>3396</v>
      </c>
      <c r="E1440" s="12" t="s">
        <v>3430</v>
      </c>
      <c r="F1440" s="16">
        <v>375000</v>
      </c>
    </row>
    <row r="1441" spans="1:6" x14ac:dyDescent="0.2">
      <c r="A1441" s="8" t="s">
        <v>1195</v>
      </c>
      <c r="B1441" s="9">
        <v>18303156448</v>
      </c>
      <c r="C1441" s="10">
        <f ca="1">TODAY()-1873</f>
        <v>42348</v>
      </c>
      <c r="D1441" s="10" t="s">
        <v>3398</v>
      </c>
      <c r="E1441" s="12" t="s">
        <v>3500</v>
      </c>
      <c r="F1441" s="16">
        <v>300000</v>
      </c>
    </row>
    <row r="1442" spans="1:6" x14ac:dyDescent="0.2">
      <c r="A1442" s="8" t="s">
        <v>2057</v>
      </c>
      <c r="B1442" s="9">
        <v>18505075292</v>
      </c>
      <c r="C1442" s="10">
        <f ca="1">TODAY()-260</f>
        <v>43961</v>
      </c>
      <c r="D1442" s="10" t="s">
        <v>2296</v>
      </c>
      <c r="E1442" s="12" t="s">
        <v>3562</v>
      </c>
      <c r="F1442" s="16">
        <v>465000</v>
      </c>
    </row>
    <row r="1443" spans="1:6" x14ac:dyDescent="0.2">
      <c r="A1443" s="8" t="s">
        <v>1393</v>
      </c>
      <c r="B1443" s="9">
        <v>18111211884</v>
      </c>
      <c r="C1443" s="10">
        <f ca="1">TODAY()-2496</f>
        <v>41725</v>
      </c>
      <c r="D1443" s="10" t="s">
        <v>2304</v>
      </c>
      <c r="E1443" s="12" t="s">
        <v>3500</v>
      </c>
      <c r="F1443" s="16">
        <v>285000</v>
      </c>
    </row>
    <row r="1444" spans="1:6" x14ac:dyDescent="0.2">
      <c r="A1444" s="8" t="s">
        <v>425</v>
      </c>
      <c r="B1444" s="9">
        <v>17708286156</v>
      </c>
      <c r="C1444" s="10">
        <f ca="1">TODAY()-555</f>
        <v>43666</v>
      </c>
      <c r="D1444" s="10" t="s">
        <v>2291</v>
      </c>
      <c r="E1444" s="12" t="s">
        <v>3524</v>
      </c>
      <c r="F1444" s="16">
        <v>410000</v>
      </c>
    </row>
    <row r="1445" spans="1:6" x14ac:dyDescent="0.2">
      <c r="A1445" s="8" t="s">
        <v>811</v>
      </c>
      <c r="B1445" s="9">
        <v>26104023633</v>
      </c>
      <c r="C1445" s="10">
        <f ca="1">TODAY()-4357</f>
        <v>39864</v>
      </c>
      <c r="D1445" s="10" t="s">
        <v>2287</v>
      </c>
      <c r="E1445" s="12" t="s">
        <v>3549</v>
      </c>
      <c r="F1445" s="16">
        <v>350000</v>
      </c>
    </row>
    <row r="1446" spans="1:6" x14ac:dyDescent="0.2">
      <c r="A1446" s="8" t="s">
        <v>1790</v>
      </c>
      <c r="B1446" s="9">
        <v>27501133602</v>
      </c>
      <c r="C1446" s="10">
        <f ca="1">TODAY()-2707</f>
        <v>41514</v>
      </c>
      <c r="D1446" s="10" t="s">
        <v>2304</v>
      </c>
      <c r="E1446" s="12" t="s">
        <v>3441</v>
      </c>
      <c r="F1446" s="16">
        <v>480000</v>
      </c>
    </row>
    <row r="1447" spans="1:6" x14ac:dyDescent="0.2">
      <c r="A1447" s="8" t="s">
        <v>1543</v>
      </c>
      <c r="B1447" s="9">
        <v>18005108783</v>
      </c>
      <c r="C1447" s="10">
        <f ca="1">TODAY()-153</f>
        <v>44068</v>
      </c>
      <c r="D1447" s="10" t="s">
        <v>3392</v>
      </c>
      <c r="E1447" s="12" t="s">
        <v>3550</v>
      </c>
      <c r="F1447" s="16">
        <v>445000</v>
      </c>
    </row>
    <row r="1448" spans="1:6" x14ac:dyDescent="0.2">
      <c r="A1448" s="8" t="s">
        <v>535</v>
      </c>
      <c r="B1448" s="9">
        <v>27901149093</v>
      </c>
      <c r="C1448" s="10">
        <f ca="1">TODAY()-2108</f>
        <v>42113</v>
      </c>
      <c r="D1448" s="10" t="s">
        <v>3400</v>
      </c>
      <c r="E1448" s="12" t="s">
        <v>3520</v>
      </c>
      <c r="F1448" s="16">
        <v>390000</v>
      </c>
    </row>
    <row r="1449" spans="1:6" x14ac:dyDescent="0.2">
      <c r="A1449" s="8" t="s">
        <v>656</v>
      </c>
      <c r="B1449" s="9">
        <v>18002047423</v>
      </c>
      <c r="C1449" s="10">
        <f ca="1">TODAY()-672</f>
        <v>43549</v>
      </c>
      <c r="D1449" s="10" t="s">
        <v>2298</v>
      </c>
      <c r="E1449" s="12" t="s">
        <v>3561</v>
      </c>
      <c r="F1449" s="16">
        <v>370000</v>
      </c>
    </row>
    <row r="1450" spans="1:6" x14ac:dyDescent="0.2">
      <c r="A1450" s="8" t="s">
        <v>1597</v>
      </c>
      <c r="B1450" s="9">
        <v>26909027428</v>
      </c>
      <c r="C1450" s="10">
        <f ca="1">TODAY()-1482</f>
        <v>42739</v>
      </c>
      <c r="D1450" s="10" t="s">
        <v>3391</v>
      </c>
      <c r="E1450" s="12" t="s">
        <v>3391</v>
      </c>
      <c r="F1450" s="16">
        <v>230000</v>
      </c>
    </row>
    <row r="1451" spans="1:6" x14ac:dyDescent="0.2">
      <c r="A1451" s="8" t="s">
        <v>646</v>
      </c>
      <c r="B1451" s="9">
        <v>19011114897</v>
      </c>
      <c r="C1451" s="10">
        <f ca="1">TODAY()-1884</f>
        <v>42337</v>
      </c>
      <c r="D1451" s="10" t="s">
        <v>3398</v>
      </c>
      <c r="E1451" s="12" t="s">
        <v>3422</v>
      </c>
      <c r="F1451" s="16">
        <v>215000</v>
      </c>
    </row>
    <row r="1452" spans="1:6" x14ac:dyDescent="0.2">
      <c r="A1452" s="8" t="s">
        <v>1794</v>
      </c>
      <c r="B1452" s="9">
        <v>18312108124</v>
      </c>
      <c r="C1452" s="10">
        <f ca="1">TODAY()-3958</f>
        <v>40263</v>
      </c>
      <c r="D1452" s="10" t="s">
        <v>3379</v>
      </c>
      <c r="E1452" s="12" t="s">
        <v>3379</v>
      </c>
      <c r="F1452" s="16">
        <v>395000</v>
      </c>
    </row>
    <row r="1453" spans="1:6" x14ac:dyDescent="0.2">
      <c r="A1453" s="8" t="s">
        <v>594</v>
      </c>
      <c r="B1453" s="9">
        <v>16411067687</v>
      </c>
      <c r="C1453" s="10">
        <f ca="1">TODAY()-2835</f>
        <v>41386</v>
      </c>
      <c r="D1453" s="10" t="s">
        <v>3397</v>
      </c>
      <c r="E1453" s="12" t="s">
        <v>3545</v>
      </c>
      <c r="F1453" s="16">
        <v>315000</v>
      </c>
    </row>
    <row r="1454" spans="1:6" x14ac:dyDescent="0.2">
      <c r="A1454" s="8" t="s">
        <v>1054</v>
      </c>
      <c r="B1454" s="9">
        <v>18204115276</v>
      </c>
      <c r="C1454" s="10">
        <f ca="1">TODAY()-1312</f>
        <v>42909</v>
      </c>
      <c r="D1454" s="10" t="s">
        <v>2286</v>
      </c>
      <c r="E1454" s="12" t="s">
        <v>3494</v>
      </c>
      <c r="F1454" s="16">
        <v>425000</v>
      </c>
    </row>
    <row r="1455" spans="1:6" x14ac:dyDescent="0.2">
      <c r="A1455" s="8" t="s">
        <v>1882</v>
      </c>
      <c r="B1455" s="9">
        <v>16503162747</v>
      </c>
      <c r="C1455" s="10">
        <f ca="1">TODAY()-3567</f>
        <v>40654</v>
      </c>
      <c r="D1455" s="10" t="s">
        <v>3393</v>
      </c>
      <c r="E1455" s="12" t="s">
        <v>3513</v>
      </c>
      <c r="F1455" s="16">
        <v>195000</v>
      </c>
    </row>
    <row r="1456" spans="1:6" x14ac:dyDescent="0.2">
      <c r="A1456" s="8" t="s">
        <v>881</v>
      </c>
      <c r="B1456" s="9">
        <v>28708256165</v>
      </c>
      <c r="C1456" s="10">
        <f ca="1">TODAY()-1982</f>
        <v>42239</v>
      </c>
      <c r="D1456" s="10" t="s">
        <v>3386</v>
      </c>
      <c r="E1456" s="12" t="s">
        <v>3442</v>
      </c>
      <c r="F1456" s="16">
        <v>370000</v>
      </c>
    </row>
    <row r="1457" spans="1:6" x14ac:dyDescent="0.2">
      <c r="A1457" s="8" t="s">
        <v>1097</v>
      </c>
      <c r="B1457" s="9">
        <v>26409162796</v>
      </c>
      <c r="C1457" s="10">
        <f ca="1">TODAY()-3548</f>
        <v>40673</v>
      </c>
      <c r="D1457" s="10" t="s">
        <v>3397</v>
      </c>
      <c r="E1457" s="12" t="s">
        <v>3493</v>
      </c>
      <c r="F1457" s="16">
        <v>475000</v>
      </c>
    </row>
    <row r="1458" spans="1:6" x14ac:dyDescent="0.2">
      <c r="A1458" s="8" t="s">
        <v>1395</v>
      </c>
      <c r="B1458" s="9">
        <v>18201034527</v>
      </c>
      <c r="C1458" s="10">
        <f ca="1">TODAY()-3884</f>
        <v>40337</v>
      </c>
      <c r="D1458" s="10" t="s">
        <v>3381</v>
      </c>
      <c r="E1458" s="12" t="s">
        <v>3427</v>
      </c>
      <c r="F1458" s="16">
        <v>315000</v>
      </c>
    </row>
    <row r="1459" spans="1:6" x14ac:dyDescent="0.2">
      <c r="A1459" s="8" t="s">
        <v>1419</v>
      </c>
      <c r="B1459" s="9">
        <v>28607191624</v>
      </c>
      <c r="C1459" s="10">
        <f ca="1">TODAY()-776</f>
        <v>43445</v>
      </c>
      <c r="D1459" s="10" t="s">
        <v>3394</v>
      </c>
      <c r="E1459" s="12" t="s">
        <v>3394</v>
      </c>
      <c r="F1459" s="16">
        <v>370000</v>
      </c>
    </row>
    <row r="1460" spans="1:6" x14ac:dyDescent="0.2">
      <c r="A1460" s="8" t="s">
        <v>1954</v>
      </c>
      <c r="B1460" s="9">
        <v>18310107031</v>
      </c>
      <c r="C1460" s="10">
        <f ca="1">TODAY()-3835</f>
        <v>40386</v>
      </c>
      <c r="D1460" s="10" t="s">
        <v>2288</v>
      </c>
      <c r="E1460" s="12" t="s">
        <v>3522</v>
      </c>
      <c r="F1460" s="16">
        <v>270000</v>
      </c>
    </row>
    <row r="1461" spans="1:6" x14ac:dyDescent="0.2">
      <c r="A1461" s="8" t="s">
        <v>1772</v>
      </c>
      <c r="B1461" s="9">
        <v>18905253248</v>
      </c>
      <c r="C1461" s="10">
        <f ca="1">TODAY()-1933</f>
        <v>42288</v>
      </c>
      <c r="D1461" s="10" t="s">
        <v>2297</v>
      </c>
      <c r="E1461" s="12" t="s">
        <v>3534</v>
      </c>
      <c r="F1461" s="16">
        <v>365000</v>
      </c>
    </row>
    <row r="1462" spans="1:6" x14ac:dyDescent="0.2">
      <c r="A1462" s="8" t="s">
        <v>787</v>
      </c>
      <c r="B1462" s="9">
        <v>18212097673</v>
      </c>
      <c r="C1462" s="10">
        <f ca="1">TODAY()-1618</f>
        <v>42603</v>
      </c>
      <c r="D1462" s="10" t="s">
        <v>2301</v>
      </c>
      <c r="E1462" s="12" t="s">
        <v>2301</v>
      </c>
      <c r="F1462" s="16">
        <v>395000</v>
      </c>
    </row>
    <row r="1463" spans="1:6" x14ac:dyDescent="0.2">
      <c r="A1463" s="8" t="s">
        <v>1538</v>
      </c>
      <c r="B1463" s="9">
        <v>17807247393</v>
      </c>
      <c r="C1463" s="10">
        <f ca="1">TODAY()-3599</f>
        <v>40622</v>
      </c>
      <c r="D1463" s="10" t="s">
        <v>2288</v>
      </c>
      <c r="E1463" s="12" t="s">
        <v>3555</v>
      </c>
      <c r="F1463" s="16">
        <v>490000</v>
      </c>
    </row>
    <row r="1464" spans="1:6" x14ac:dyDescent="0.2">
      <c r="A1464" s="8" t="s">
        <v>1439</v>
      </c>
      <c r="B1464" s="9">
        <v>16208038245</v>
      </c>
      <c r="C1464" s="10">
        <f ca="1">TODAY()-62</f>
        <v>44159</v>
      </c>
      <c r="D1464" s="10" t="s">
        <v>2292</v>
      </c>
      <c r="E1464" s="12" t="s">
        <v>2292</v>
      </c>
      <c r="F1464" s="16">
        <v>230000</v>
      </c>
    </row>
    <row r="1465" spans="1:6" x14ac:dyDescent="0.2">
      <c r="A1465" s="8" t="s">
        <v>2142</v>
      </c>
      <c r="B1465" s="9">
        <v>16502242720</v>
      </c>
      <c r="C1465" s="10">
        <f ca="1">TODAY()-907</f>
        <v>43314</v>
      </c>
      <c r="D1465" s="10" t="s">
        <v>2284</v>
      </c>
      <c r="E1465" s="12" t="s">
        <v>3496</v>
      </c>
      <c r="F1465" s="16">
        <v>185000</v>
      </c>
    </row>
    <row r="1466" spans="1:6" x14ac:dyDescent="0.2">
      <c r="A1466" s="8" t="s">
        <v>1959</v>
      </c>
      <c r="B1466" s="9">
        <v>18404017225</v>
      </c>
      <c r="C1466" s="10">
        <f ca="1">TODAY()-1600</f>
        <v>42621</v>
      </c>
      <c r="D1466" s="10" t="s">
        <v>3383</v>
      </c>
      <c r="E1466" s="12" t="s">
        <v>3558</v>
      </c>
      <c r="F1466" s="16">
        <v>205000</v>
      </c>
    </row>
    <row r="1467" spans="1:6" x14ac:dyDescent="0.2">
      <c r="A1467" s="8" t="s">
        <v>2129</v>
      </c>
      <c r="B1467" s="9">
        <v>28208224086</v>
      </c>
      <c r="C1467" s="10">
        <f ca="1">TODAY()-2401</f>
        <v>41820</v>
      </c>
      <c r="D1467" s="10" t="s">
        <v>2289</v>
      </c>
      <c r="E1467" s="12" t="s">
        <v>3536</v>
      </c>
      <c r="F1467" s="16">
        <v>230000</v>
      </c>
    </row>
    <row r="1468" spans="1:6" x14ac:dyDescent="0.2">
      <c r="A1468" s="8" t="s">
        <v>1331</v>
      </c>
      <c r="B1468" s="9">
        <v>27909024273</v>
      </c>
      <c r="C1468" s="10">
        <f ca="1">TODAY()-682</f>
        <v>43539</v>
      </c>
      <c r="D1468" s="10" t="s">
        <v>2288</v>
      </c>
      <c r="E1468" s="12" t="s">
        <v>3474</v>
      </c>
      <c r="F1468" s="16">
        <v>495000</v>
      </c>
    </row>
    <row r="1469" spans="1:6" x14ac:dyDescent="0.2">
      <c r="A1469" s="8" t="s">
        <v>2157</v>
      </c>
      <c r="B1469" s="9">
        <v>18602154855</v>
      </c>
      <c r="C1469" s="10">
        <f ca="1">TODAY()-2312</f>
        <v>41909</v>
      </c>
      <c r="D1469" s="10" t="s">
        <v>3398</v>
      </c>
      <c r="E1469" s="12" t="s">
        <v>3540</v>
      </c>
      <c r="F1469" s="16">
        <v>480000</v>
      </c>
    </row>
    <row r="1470" spans="1:6" x14ac:dyDescent="0.2">
      <c r="A1470" s="8" t="s">
        <v>1509</v>
      </c>
      <c r="B1470" s="9">
        <v>26812209815</v>
      </c>
      <c r="C1470" s="10">
        <f ca="1">TODAY()-1844</f>
        <v>42377</v>
      </c>
      <c r="D1470" s="10" t="s">
        <v>3389</v>
      </c>
      <c r="E1470" s="12" t="s">
        <v>3531</v>
      </c>
      <c r="F1470" s="16">
        <v>205000</v>
      </c>
    </row>
    <row r="1471" spans="1:6" x14ac:dyDescent="0.2">
      <c r="A1471" s="8" t="s">
        <v>1552</v>
      </c>
      <c r="B1471" s="9">
        <v>17607095137</v>
      </c>
      <c r="C1471" s="10">
        <f ca="1">TODAY()-3154</f>
        <v>41067</v>
      </c>
      <c r="D1471" s="10" t="s">
        <v>3402</v>
      </c>
      <c r="E1471" s="12" t="s">
        <v>3454</v>
      </c>
      <c r="F1471" s="16">
        <v>260000</v>
      </c>
    </row>
    <row r="1472" spans="1:6" x14ac:dyDescent="0.2">
      <c r="A1472" s="8" t="s">
        <v>1511</v>
      </c>
      <c r="B1472" s="9">
        <v>17204201166</v>
      </c>
      <c r="C1472" s="10">
        <f ca="1">TODAY()-1064</f>
        <v>43157</v>
      </c>
      <c r="D1472" s="10" t="s">
        <v>2292</v>
      </c>
      <c r="E1472" s="12" t="s">
        <v>3490</v>
      </c>
      <c r="F1472" s="16">
        <v>340000</v>
      </c>
    </row>
    <row r="1473" spans="1:6" x14ac:dyDescent="0.2">
      <c r="A1473" s="8" t="s">
        <v>722</v>
      </c>
      <c r="B1473" s="9">
        <v>28003096853</v>
      </c>
      <c r="C1473" s="10">
        <f ca="1">TODAY()-4394</f>
        <v>39827</v>
      </c>
      <c r="D1473" s="10" t="s">
        <v>3386</v>
      </c>
      <c r="E1473" s="12" t="s">
        <v>3553</v>
      </c>
      <c r="F1473" s="16">
        <v>220000</v>
      </c>
    </row>
    <row r="1474" spans="1:6" x14ac:dyDescent="0.2">
      <c r="A1474" s="8" t="s">
        <v>1104</v>
      </c>
      <c r="B1474" s="9">
        <v>28101058729</v>
      </c>
      <c r="C1474" s="10">
        <f ca="1">TODAY()-3612</f>
        <v>40609</v>
      </c>
      <c r="D1474" s="10" t="s">
        <v>2290</v>
      </c>
      <c r="E1474" s="12" t="s">
        <v>2290</v>
      </c>
      <c r="F1474" s="16">
        <v>330000</v>
      </c>
    </row>
    <row r="1475" spans="1:6" x14ac:dyDescent="0.2">
      <c r="A1475" s="8" t="s">
        <v>1651</v>
      </c>
      <c r="B1475" s="9">
        <v>26805169338</v>
      </c>
      <c r="C1475" s="10">
        <f ca="1">TODAY()-26</f>
        <v>44195</v>
      </c>
      <c r="D1475" s="10" t="s">
        <v>3396</v>
      </c>
      <c r="E1475" s="12" t="s">
        <v>3478</v>
      </c>
      <c r="F1475" s="16">
        <v>445000</v>
      </c>
    </row>
    <row r="1476" spans="1:6" x14ac:dyDescent="0.2">
      <c r="A1476" s="8" t="s">
        <v>614</v>
      </c>
      <c r="B1476" s="9">
        <v>18508223086</v>
      </c>
      <c r="C1476" s="10">
        <f ca="1">TODAY()-4514</f>
        <v>39707</v>
      </c>
      <c r="D1476" s="10" t="s">
        <v>2293</v>
      </c>
      <c r="E1476" s="12" t="s">
        <v>3527</v>
      </c>
      <c r="F1476" s="16">
        <v>460000</v>
      </c>
    </row>
    <row r="1477" spans="1:6" x14ac:dyDescent="0.2">
      <c r="A1477" s="8" t="s">
        <v>1452</v>
      </c>
      <c r="B1477" s="9">
        <v>27508065949</v>
      </c>
      <c r="C1477" s="10">
        <f ca="1">TODAY()-4004</f>
        <v>40217</v>
      </c>
      <c r="D1477" s="10" t="s">
        <v>3395</v>
      </c>
      <c r="E1477" s="12" t="s">
        <v>3431</v>
      </c>
      <c r="F1477" s="16">
        <v>240000</v>
      </c>
    </row>
    <row r="1478" spans="1:6" x14ac:dyDescent="0.2">
      <c r="A1478" s="8" t="s">
        <v>1742</v>
      </c>
      <c r="B1478" s="9">
        <v>16106033124</v>
      </c>
      <c r="C1478" s="10">
        <f ca="1">TODAY()-2982</f>
        <v>41239</v>
      </c>
      <c r="D1478" s="10" t="s">
        <v>3387</v>
      </c>
      <c r="E1478" s="12" t="s">
        <v>3535</v>
      </c>
      <c r="F1478" s="16">
        <v>190000</v>
      </c>
    </row>
    <row r="1479" spans="1:6" x14ac:dyDescent="0.2">
      <c r="A1479" s="8" t="s">
        <v>1584</v>
      </c>
      <c r="B1479" s="9">
        <v>16504148081</v>
      </c>
      <c r="C1479" s="10">
        <f ca="1">TODAY()-4474</f>
        <v>39747</v>
      </c>
      <c r="D1479" s="10" t="s">
        <v>3399</v>
      </c>
      <c r="E1479" s="12" t="s">
        <v>3467</v>
      </c>
      <c r="F1479" s="16">
        <v>230000</v>
      </c>
    </row>
    <row r="1480" spans="1:6" x14ac:dyDescent="0.2">
      <c r="A1480" s="8" t="s">
        <v>2185</v>
      </c>
      <c r="B1480" s="9">
        <v>18703207912</v>
      </c>
      <c r="C1480" s="10">
        <f ca="1">TODAY()-3599</f>
        <v>40622</v>
      </c>
      <c r="D1480" s="10" t="s">
        <v>2287</v>
      </c>
      <c r="E1480" s="12" t="s">
        <v>3461</v>
      </c>
      <c r="F1480" s="16">
        <v>390000</v>
      </c>
    </row>
    <row r="1481" spans="1:6" x14ac:dyDescent="0.2">
      <c r="A1481" s="8" t="s">
        <v>647</v>
      </c>
      <c r="B1481" s="9">
        <v>17112148726</v>
      </c>
      <c r="C1481" s="10">
        <f ca="1">TODAY()-3604</f>
        <v>40617</v>
      </c>
      <c r="D1481" s="10" t="s">
        <v>2304</v>
      </c>
      <c r="E1481" s="12" t="s">
        <v>3499</v>
      </c>
      <c r="F1481" s="16">
        <v>305000</v>
      </c>
    </row>
    <row r="1482" spans="1:6" x14ac:dyDescent="0.2">
      <c r="A1482" s="8" t="s">
        <v>1080</v>
      </c>
      <c r="B1482" s="9">
        <v>27908289771</v>
      </c>
      <c r="C1482" s="10">
        <f ca="1">TODAY()-3317</f>
        <v>40904</v>
      </c>
      <c r="D1482" s="10" t="s">
        <v>2301</v>
      </c>
      <c r="E1482" s="12" t="s">
        <v>2301</v>
      </c>
      <c r="F1482" s="16">
        <v>225000</v>
      </c>
    </row>
    <row r="1483" spans="1:6" x14ac:dyDescent="0.2">
      <c r="A1483" s="8" t="s">
        <v>1256</v>
      </c>
      <c r="B1483" s="9">
        <v>18911234817</v>
      </c>
      <c r="C1483" s="10">
        <f ca="1">TODAY()-2516</f>
        <v>41705</v>
      </c>
      <c r="D1483" s="10" t="s">
        <v>2298</v>
      </c>
      <c r="E1483" s="12" t="s">
        <v>3433</v>
      </c>
      <c r="F1483" s="16">
        <v>330000</v>
      </c>
    </row>
    <row r="1484" spans="1:6" x14ac:dyDescent="0.2">
      <c r="A1484" s="8" t="s">
        <v>1071</v>
      </c>
      <c r="B1484" s="9">
        <v>19010272639</v>
      </c>
      <c r="C1484" s="10">
        <f ca="1">TODAY()-2938</f>
        <v>41283</v>
      </c>
      <c r="D1484" s="10" t="s">
        <v>2294</v>
      </c>
      <c r="E1484" s="12" t="s">
        <v>3424</v>
      </c>
      <c r="F1484" s="16">
        <v>365000</v>
      </c>
    </row>
    <row r="1485" spans="1:6" x14ac:dyDescent="0.2">
      <c r="A1485" s="8" t="s">
        <v>795</v>
      </c>
      <c r="B1485" s="9">
        <v>26502022734</v>
      </c>
      <c r="C1485" s="10">
        <f ca="1">TODAY()-4133</f>
        <v>40088</v>
      </c>
      <c r="D1485" s="10" t="s">
        <v>2284</v>
      </c>
      <c r="E1485" s="12" t="s">
        <v>3536</v>
      </c>
      <c r="F1485" s="16">
        <v>305000</v>
      </c>
    </row>
    <row r="1486" spans="1:6" x14ac:dyDescent="0.2">
      <c r="A1486" s="8" t="s">
        <v>1786</v>
      </c>
      <c r="B1486" s="9">
        <v>17405074416</v>
      </c>
      <c r="C1486" s="10">
        <f ca="1">TODAY()-4093</f>
        <v>40128</v>
      </c>
      <c r="D1486" s="10" t="s">
        <v>3399</v>
      </c>
      <c r="E1486" s="12" t="s">
        <v>3433</v>
      </c>
      <c r="F1486" s="16">
        <v>385000</v>
      </c>
    </row>
    <row r="1487" spans="1:6" x14ac:dyDescent="0.2">
      <c r="A1487" s="8" t="s">
        <v>1218</v>
      </c>
      <c r="B1487" s="9">
        <v>26801117360</v>
      </c>
      <c r="C1487" s="10">
        <f ca="1">TODAY()-2120</f>
        <v>42101</v>
      </c>
      <c r="D1487" s="10" t="s">
        <v>3390</v>
      </c>
      <c r="E1487" s="12" t="s">
        <v>3545</v>
      </c>
      <c r="F1487" s="16">
        <v>345000</v>
      </c>
    </row>
    <row r="1488" spans="1:6" x14ac:dyDescent="0.2">
      <c r="A1488" s="8" t="s">
        <v>800</v>
      </c>
      <c r="B1488" s="9">
        <v>16410079053</v>
      </c>
      <c r="C1488" s="10">
        <f ca="1">TODAY()-3741</f>
        <v>40480</v>
      </c>
      <c r="D1488" s="10" t="s">
        <v>3391</v>
      </c>
      <c r="E1488" s="12" t="s">
        <v>3481</v>
      </c>
      <c r="F1488" s="16">
        <v>470000</v>
      </c>
    </row>
    <row r="1489" spans="1:6" x14ac:dyDescent="0.2">
      <c r="A1489" s="8" t="s">
        <v>1412</v>
      </c>
      <c r="B1489" s="9">
        <v>28904247064</v>
      </c>
      <c r="C1489" s="10">
        <f ca="1">TODAY()-3432</f>
        <v>40789</v>
      </c>
      <c r="D1489" s="10" t="s">
        <v>3388</v>
      </c>
      <c r="E1489" s="12" t="s">
        <v>3510</v>
      </c>
      <c r="F1489" s="16">
        <v>205000</v>
      </c>
    </row>
    <row r="1490" spans="1:6" x14ac:dyDescent="0.2">
      <c r="A1490" s="8" t="s">
        <v>1440</v>
      </c>
      <c r="B1490" s="9">
        <v>18108147404</v>
      </c>
      <c r="C1490" s="10">
        <f ca="1">TODAY()-4261</f>
        <v>39960</v>
      </c>
      <c r="D1490" s="10" t="s">
        <v>2286</v>
      </c>
      <c r="E1490" s="12" t="s">
        <v>3442</v>
      </c>
      <c r="F1490" s="16">
        <v>275000</v>
      </c>
    </row>
    <row r="1491" spans="1:6" x14ac:dyDescent="0.2">
      <c r="A1491" s="8" t="s">
        <v>2077</v>
      </c>
      <c r="B1491" s="9">
        <v>17512061761</v>
      </c>
      <c r="C1491" s="10">
        <f ca="1">TODAY()-2531</f>
        <v>41690</v>
      </c>
      <c r="D1491" s="10" t="s">
        <v>2299</v>
      </c>
      <c r="E1491" s="12" t="s">
        <v>3458</v>
      </c>
      <c r="F1491" s="16">
        <v>450000</v>
      </c>
    </row>
    <row r="1492" spans="1:6" x14ac:dyDescent="0.2">
      <c r="A1492" s="8" t="s">
        <v>2236</v>
      </c>
      <c r="B1492" s="9">
        <v>27504095204</v>
      </c>
      <c r="C1492" s="10">
        <f ca="1">TODAY()-2201</f>
        <v>42020</v>
      </c>
      <c r="D1492" s="10" t="s">
        <v>2299</v>
      </c>
      <c r="E1492" s="12" t="s">
        <v>2299</v>
      </c>
      <c r="F1492" s="16">
        <v>355000</v>
      </c>
    </row>
    <row r="1493" spans="1:6" x14ac:dyDescent="0.2">
      <c r="A1493" s="8" t="s">
        <v>1770</v>
      </c>
      <c r="B1493" s="9">
        <v>28702171653</v>
      </c>
      <c r="C1493" s="10">
        <f ca="1">TODAY()-4657</f>
        <v>39564</v>
      </c>
      <c r="D1493" s="10" t="s">
        <v>3394</v>
      </c>
      <c r="E1493" s="12" t="s">
        <v>3524</v>
      </c>
      <c r="F1493" s="16">
        <v>195000</v>
      </c>
    </row>
    <row r="1494" spans="1:6" x14ac:dyDescent="0.2">
      <c r="A1494" s="8" t="s">
        <v>1114</v>
      </c>
      <c r="B1494" s="9">
        <v>28801064061</v>
      </c>
      <c r="C1494" s="10">
        <f ca="1">TODAY()-1446</f>
        <v>42775</v>
      </c>
      <c r="D1494" s="10" t="s">
        <v>2287</v>
      </c>
      <c r="E1494" s="12" t="s">
        <v>3499</v>
      </c>
      <c r="F1494" s="16">
        <v>440000</v>
      </c>
    </row>
    <row r="1495" spans="1:6" x14ac:dyDescent="0.2">
      <c r="A1495" s="8" t="s">
        <v>675</v>
      </c>
      <c r="B1495" s="9">
        <v>16707068395</v>
      </c>
      <c r="C1495" s="10">
        <f ca="1">TODAY()-2658</f>
        <v>41563</v>
      </c>
      <c r="D1495" s="10" t="s">
        <v>3402</v>
      </c>
      <c r="E1495" s="12" t="s">
        <v>3402</v>
      </c>
      <c r="F1495" s="16">
        <v>270000</v>
      </c>
    </row>
    <row r="1496" spans="1:6" x14ac:dyDescent="0.2">
      <c r="A1496" s="8" t="s">
        <v>1255</v>
      </c>
      <c r="B1496" s="9">
        <v>17103108632</v>
      </c>
      <c r="C1496" s="10">
        <f ca="1">TODAY()-1630</f>
        <v>42591</v>
      </c>
      <c r="D1496" s="10" t="s">
        <v>2301</v>
      </c>
      <c r="E1496" s="12" t="s">
        <v>3477</v>
      </c>
      <c r="F1496" s="16">
        <v>300000</v>
      </c>
    </row>
    <row r="1497" spans="1:6" x14ac:dyDescent="0.2">
      <c r="A1497" s="8" t="s">
        <v>1664</v>
      </c>
      <c r="B1497" s="9">
        <v>18510243038</v>
      </c>
      <c r="C1497" s="10">
        <f ca="1">TODAY()-363</f>
        <v>43858</v>
      </c>
      <c r="D1497" s="10" t="s">
        <v>2297</v>
      </c>
      <c r="E1497" s="12" t="s">
        <v>3415</v>
      </c>
      <c r="F1497" s="16">
        <v>285000</v>
      </c>
    </row>
    <row r="1498" spans="1:6" x14ac:dyDescent="0.2">
      <c r="A1498" s="8" t="s">
        <v>1357</v>
      </c>
      <c r="B1498" s="9">
        <v>16212271577</v>
      </c>
      <c r="C1498" s="10">
        <f ca="1">TODAY()-3602</f>
        <v>40619</v>
      </c>
      <c r="D1498" s="10" t="s">
        <v>3383</v>
      </c>
      <c r="E1498" s="12" t="s">
        <v>3438</v>
      </c>
      <c r="F1498" s="16">
        <v>285000</v>
      </c>
    </row>
    <row r="1499" spans="1:6" x14ac:dyDescent="0.2">
      <c r="A1499" s="8" t="s">
        <v>1396</v>
      </c>
      <c r="B1499" s="9">
        <v>18307229132</v>
      </c>
      <c r="C1499" s="10">
        <f ca="1">TODAY()-713</f>
        <v>43508</v>
      </c>
      <c r="D1499" s="10" t="s">
        <v>3394</v>
      </c>
      <c r="E1499" s="12" t="s">
        <v>3394</v>
      </c>
      <c r="F1499" s="16">
        <v>380000</v>
      </c>
    </row>
    <row r="1500" spans="1:6" x14ac:dyDescent="0.2">
      <c r="A1500" s="8" t="s">
        <v>499</v>
      </c>
      <c r="B1500" s="9">
        <v>17104203406</v>
      </c>
      <c r="C1500" s="10">
        <f ca="1">TODAY()-3784</f>
        <v>40437</v>
      </c>
      <c r="D1500" s="10" t="s">
        <v>3391</v>
      </c>
      <c r="E1500" s="12" t="s">
        <v>3391</v>
      </c>
      <c r="F1500" s="16">
        <v>480000</v>
      </c>
    </row>
    <row r="1501" spans="1:6" x14ac:dyDescent="0.2">
      <c r="A1501" s="8" t="s">
        <v>1450</v>
      </c>
      <c r="B1501" s="9">
        <v>26708106257</v>
      </c>
      <c r="C1501" s="10">
        <f ca="1">TODAY()-370</f>
        <v>43851</v>
      </c>
      <c r="D1501" s="10" t="s">
        <v>2303</v>
      </c>
      <c r="E1501" s="12" t="s">
        <v>3493</v>
      </c>
      <c r="F1501" s="16">
        <v>285000</v>
      </c>
    </row>
    <row r="1502" spans="1:6" x14ac:dyDescent="0.2">
      <c r="A1502" s="8" t="s">
        <v>1320</v>
      </c>
      <c r="B1502" s="9">
        <v>28907047870</v>
      </c>
      <c r="C1502" s="10">
        <f ca="1">TODAY()-3208</f>
        <v>41013</v>
      </c>
      <c r="D1502" s="10" t="s">
        <v>2285</v>
      </c>
      <c r="E1502" s="12" t="s">
        <v>3470</v>
      </c>
      <c r="F1502" s="16">
        <v>370000</v>
      </c>
    </row>
    <row r="1503" spans="1:6" x14ac:dyDescent="0.2">
      <c r="A1503" s="8" t="s">
        <v>581</v>
      </c>
      <c r="B1503" s="9">
        <v>16908046326</v>
      </c>
      <c r="C1503" s="10">
        <f ca="1">TODAY()-293</f>
        <v>43928</v>
      </c>
      <c r="D1503" s="10" t="s">
        <v>3400</v>
      </c>
      <c r="E1503" s="12" t="s">
        <v>3438</v>
      </c>
      <c r="F1503" s="16">
        <v>260000</v>
      </c>
    </row>
    <row r="1504" spans="1:6" x14ac:dyDescent="0.2">
      <c r="A1504" s="8" t="s">
        <v>744</v>
      </c>
      <c r="B1504" s="9">
        <v>27402275041</v>
      </c>
      <c r="C1504" s="10">
        <f ca="1">TODAY()-2604</f>
        <v>41617</v>
      </c>
      <c r="D1504" s="10" t="s">
        <v>2304</v>
      </c>
      <c r="E1504" s="12" t="s">
        <v>2304</v>
      </c>
      <c r="F1504" s="16">
        <v>410000</v>
      </c>
    </row>
    <row r="1505" spans="1:6" x14ac:dyDescent="0.2">
      <c r="A1505" s="8" t="s">
        <v>1434</v>
      </c>
      <c r="B1505" s="9">
        <v>26606142852</v>
      </c>
      <c r="C1505" s="10">
        <f ca="1">TODAY()-1619</f>
        <v>42602</v>
      </c>
      <c r="D1505" s="10" t="s">
        <v>2289</v>
      </c>
      <c r="E1505" s="12" t="s">
        <v>3520</v>
      </c>
      <c r="F1505" s="16">
        <v>200000</v>
      </c>
    </row>
    <row r="1506" spans="1:6" x14ac:dyDescent="0.2">
      <c r="A1506" s="8" t="s">
        <v>1505</v>
      </c>
      <c r="B1506" s="9">
        <v>27112159831</v>
      </c>
      <c r="C1506" s="10">
        <f ca="1">TODAY()-4975</f>
        <v>39246</v>
      </c>
      <c r="D1506" s="10" t="s">
        <v>2296</v>
      </c>
      <c r="E1506" s="12" t="s">
        <v>3469</v>
      </c>
      <c r="F1506" s="16">
        <v>250000</v>
      </c>
    </row>
    <row r="1507" spans="1:6" x14ac:dyDescent="0.2">
      <c r="A1507" s="8" t="s">
        <v>1753</v>
      </c>
      <c r="B1507" s="9">
        <v>26701171953</v>
      </c>
      <c r="C1507" s="10">
        <f ca="1">TODAY()-866</f>
        <v>43355</v>
      </c>
      <c r="D1507" s="10" t="s">
        <v>3380</v>
      </c>
      <c r="E1507" s="12" t="s">
        <v>3380</v>
      </c>
      <c r="F1507" s="16">
        <v>430000</v>
      </c>
    </row>
    <row r="1508" spans="1:6" x14ac:dyDescent="0.2">
      <c r="A1508" s="8" t="s">
        <v>1638</v>
      </c>
      <c r="B1508" s="9">
        <v>27201193344</v>
      </c>
      <c r="C1508" s="10">
        <f ca="1">TODAY()-4887</f>
        <v>39334</v>
      </c>
      <c r="D1508" s="10" t="s">
        <v>2290</v>
      </c>
      <c r="E1508" s="12" t="s">
        <v>3440</v>
      </c>
      <c r="F1508" s="16">
        <v>475000</v>
      </c>
    </row>
    <row r="1509" spans="1:6" x14ac:dyDescent="0.2">
      <c r="A1509" s="8" t="s">
        <v>771</v>
      </c>
      <c r="B1509" s="9">
        <v>16909044882</v>
      </c>
      <c r="C1509" s="10">
        <f ca="1">TODAY()-2336</f>
        <v>41885</v>
      </c>
      <c r="D1509" s="10" t="s">
        <v>2298</v>
      </c>
      <c r="E1509" s="12" t="s">
        <v>3447</v>
      </c>
      <c r="F1509" s="16">
        <v>410000</v>
      </c>
    </row>
    <row r="1510" spans="1:6" x14ac:dyDescent="0.2">
      <c r="A1510" s="8" t="s">
        <v>1178</v>
      </c>
      <c r="B1510" s="9">
        <v>16612019762</v>
      </c>
      <c r="C1510" s="10">
        <f ca="1">TODAY()-4729</f>
        <v>39492</v>
      </c>
      <c r="D1510" s="10" t="s">
        <v>2301</v>
      </c>
      <c r="E1510" s="12" t="s">
        <v>3493</v>
      </c>
      <c r="F1510" s="16">
        <v>375000</v>
      </c>
    </row>
    <row r="1511" spans="1:6" x14ac:dyDescent="0.2">
      <c r="A1511" s="8" t="s">
        <v>1900</v>
      </c>
      <c r="B1511" s="9">
        <v>18811164927</v>
      </c>
      <c r="C1511" s="10">
        <f ca="1">TODAY()-3329</f>
        <v>40892</v>
      </c>
      <c r="D1511" s="10" t="s">
        <v>2300</v>
      </c>
      <c r="E1511" s="12" t="s">
        <v>3405</v>
      </c>
      <c r="F1511" s="16">
        <v>445000</v>
      </c>
    </row>
    <row r="1512" spans="1:6" x14ac:dyDescent="0.2">
      <c r="A1512" s="8" t="s">
        <v>2244</v>
      </c>
      <c r="B1512" s="9">
        <v>28709121182</v>
      </c>
      <c r="C1512" s="10">
        <f ca="1">TODAY()-4516</f>
        <v>39705</v>
      </c>
      <c r="D1512" s="10" t="s">
        <v>2294</v>
      </c>
      <c r="E1512" s="12" t="s">
        <v>2294</v>
      </c>
      <c r="F1512" s="16">
        <v>185000</v>
      </c>
    </row>
    <row r="1513" spans="1:6" x14ac:dyDescent="0.2">
      <c r="A1513" s="8" t="s">
        <v>2117</v>
      </c>
      <c r="B1513" s="9">
        <v>18504065921</v>
      </c>
      <c r="C1513" s="10">
        <f ca="1">TODAY()-4412</f>
        <v>39809</v>
      </c>
      <c r="D1513" s="10" t="s">
        <v>3387</v>
      </c>
      <c r="E1513" s="12" t="s">
        <v>3548</v>
      </c>
      <c r="F1513" s="16">
        <v>315000</v>
      </c>
    </row>
    <row r="1514" spans="1:6" x14ac:dyDescent="0.2">
      <c r="A1514" s="8" t="s">
        <v>1531</v>
      </c>
      <c r="B1514" s="9">
        <v>17410234152</v>
      </c>
      <c r="C1514" s="10">
        <f ca="1">TODAY()-1988</f>
        <v>42233</v>
      </c>
      <c r="D1514" s="10" t="s">
        <v>2297</v>
      </c>
      <c r="E1514" s="12" t="s">
        <v>3518</v>
      </c>
      <c r="F1514" s="16">
        <v>400000</v>
      </c>
    </row>
    <row r="1515" spans="1:6" x14ac:dyDescent="0.2">
      <c r="A1515" s="8" t="s">
        <v>576</v>
      </c>
      <c r="B1515" s="9">
        <v>16406017580</v>
      </c>
      <c r="C1515" s="10">
        <f ca="1">TODAY()-3745</f>
        <v>40476</v>
      </c>
      <c r="D1515" s="10" t="s">
        <v>3392</v>
      </c>
      <c r="E1515" s="12" t="s">
        <v>3562</v>
      </c>
      <c r="F1515" s="16">
        <v>445000</v>
      </c>
    </row>
    <row r="1516" spans="1:6" x14ac:dyDescent="0.2">
      <c r="A1516" s="8" t="s">
        <v>509</v>
      </c>
      <c r="B1516" s="9">
        <v>17712254376</v>
      </c>
      <c r="C1516" s="10">
        <f ca="1">TODAY()-3876</f>
        <v>40345</v>
      </c>
      <c r="D1516" s="10" t="s">
        <v>2289</v>
      </c>
      <c r="E1516" s="12" t="s">
        <v>3522</v>
      </c>
      <c r="F1516" s="16">
        <v>350000</v>
      </c>
    </row>
    <row r="1517" spans="1:6" x14ac:dyDescent="0.2">
      <c r="A1517" s="8" t="s">
        <v>1504</v>
      </c>
      <c r="B1517" s="9">
        <v>27412159322</v>
      </c>
      <c r="C1517" s="10">
        <f ca="1">TODAY()-732</f>
        <v>43489</v>
      </c>
      <c r="D1517" s="10" t="s">
        <v>2291</v>
      </c>
      <c r="E1517" s="12" t="s">
        <v>2291</v>
      </c>
      <c r="F1517" s="16">
        <v>455000</v>
      </c>
    </row>
    <row r="1518" spans="1:6" x14ac:dyDescent="0.2">
      <c r="A1518" s="8" t="s">
        <v>988</v>
      </c>
      <c r="B1518" s="9">
        <v>18401099552</v>
      </c>
      <c r="C1518" s="10">
        <f ca="1">TODAY()-4229</f>
        <v>39992</v>
      </c>
      <c r="D1518" s="10" t="s">
        <v>2294</v>
      </c>
      <c r="E1518" s="12" t="s">
        <v>3415</v>
      </c>
      <c r="F1518" s="16">
        <v>465000</v>
      </c>
    </row>
    <row r="1519" spans="1:6" x14ac:dyDescent="0.2">
      <c r="A1519" s="8" t="s">
        <v>1785</v>
      </c>
      <c r="B1519" s="9">
        <v>26411224206</v>
      </c>
      <c r="C1519" s="10">
        <f ca="1">TODAY()-948</f>
        <v>43273</v>
      </c>
      <c r="D1519" s="10" t="s">
        <v>3390</v>
      </c>
      <c r="E1519" s="12" t="s">
        <v>3526</v>
      </c>
      <c r="F1519" s="16">
        <v>455000</v>
      </c>
    </row>
    <row r="1520" spans="1:6" x14ac:dyDescent="0.2">
      <c r="A1520" s="8" t="s">
        <v>1496</v>
      </c>
      <c r="B1520" s="9">
        <v>27411044824</v>
      </c>
      <c r="C1520" s="10">
        <f ca="1">TODAY()-659</f>
        <v>43562</v>
      </c>
      <c r="D1520" s="10" t="s">
        <v>2298</v>
      </c>
      <c r="E1520" s="12" t="s">
        <v>3427</v>
      </c>
      <c r="F1520" s="16">
        <v>465000</v>
      </c>
    </row>
    <row r="1521" spans="1:6" x14ac:dyDescent="0.2">
      <c r="A1521" s="8" t="s">
        <v>2095</v>
      </c>
      <c r="B1521" s="9">
        <v>17412107364</v>
      </c>
      <c r="C1521" s="10">
        <f ca="1">TODAY()-1446</f>
        <v>42775</v>
      </c>
      <c r="D1521" s="10" t="s">
        <v>2301</v>
      </c>
      <c r="E1521" s="12" t="s">
        <v>3502</v>
      </c>
      <c r="F1521" s="16">
        <v>385000</v>
      </c>
    </row>
    <row r="1522" spans="1:6" x14ac:dyDescent="0.2">
      <c r="A1522" s="8" t="s">
        <v>1462</v>
      </c>
      <c r="B1522" s="9">
        <v>16710278591</v>
      </c>
      <c r="C1522" s="10">
        <f ca="1">TODAY()-4769</f>
        <v>39452</v>
      </c>
      <c r="D1522" s="10" t="s">
        <v>2290</v>
      </c>
      <c r="E1522" s="12" t="s">
        <v>3443</v>
      </c>
      <c r="F1522" s="16">
        <v>495000</v>
      </c>
    </row>
    <row r="1523" spans="1:6" x14ac:dyDescent="0.2">
      <c r="A1523" s="8" t="s">
        <v>1622</v>
      </c>
      <c r="B1523" s="9">
        <v>27402204139</v>
      </c>
      <c r="C1523" s="10">
        <f ca="1">TODAY()-199</f>
        <v>44022</v>
      </c>
      <c r="D1523" s="10" t="s">
        <v>3392</v>
      </c>
      <c r="E1523" s="12" t="s">
        <v>3458</v>
      </c>
      <c r="F1523" s="16">
        <v>455000</v>
      </c>
    </row>
    <row r="1524" spans="1:6" x14ac:dyDescent="0.2">
      <c r="A1524" s="8" t="s">
        <v>2192</v>
      </c>
      <c r="B1524" s="9">
        <v>27601269247</v>
      </c>
      <c r="C1524" s="10">
        <f ca="1">TODAY()-3458</f>
        <v>40763</v>
      </c>
      <c r="D1524" s="10" t="s">
        <v>2284</v>
      </c>
      <c r="E1524" s="12" t="s">
        <v>3515</v>
      </c>
      <c r="F1524" s="16">
        <v>405000</v>
      </c>
    </row>
    <row r="1525" spans="1:6" x14ac:dyDescent="0.2">
      <c r="A1525" s="8" t="s">
        <v>941</v>
      </c>
      <c r="B1525" s="9">
        <v>27710112113</v>
      </c>
      <c r="C1525" s="10">
        <f ca="1">TODAY()-2739</f>
        <v>41482</v>
      </c>
      <c r="D1525" s="10" t="s">
        <v>3381</v>
      </c>
      <c r="E1525" s="12" t="s">
        <v>3433</v>
      </c>
      <c r="F1525" s="16">
        <v>220000</v>
      </c>
    </row>
    <row r="1526" spans="1:6" x14ac:dyDescent="0.2">
      <c r="A1526" s="8" t="s">
        <v>1382</v>
      </c>
      <c r="B1526" s="9">
        <v>18611121262</v>
      </c>
      <c r="C1526" s="10">
        <f ca="1">TODAY()-681</f>
        <v>43540</v>
      </c>
      <c r="D1526" s="10" t="s">
        <v>2297</v>
      </c>
      <c r="E1526" s="12" t="s">
        <v>3538</v>
      </c>
      <c r="F1526" s="16">
        <v>390000</v>
      </c>
    </row>
    <row r="1527" spans="1:6" x14ac:dyDescent="0.2">
      <c r="A1527" s="8" t="s">
        <v>1133</v>
      </c>
      <c r="B1527" s="9">
        <v>18606133877</v>
      </c>
      <c r="C1527" s="10">
        <f ca="1">TODAY()-1261</f>
        <v>42960</v>
      </c>
      <c r="D1527" s="10" t="s">
        <v>2292</v>
      </c>
      <c r="E1527" s="12" t="s">
        <v>3443</v>
      </c>
      <c r="F1527" s="16">
        <v>260000</v>
      </c>
    </row>
    <row r="1528" spans="1:6" x14ac:dyDescent="0.2">
      <c r="A1528" s="8" t="s">
        <v>960</v>
      </c>
      <c r="B1528" s="9">
        <v>17402149478</v>
      </c>
      <c r="C1528" s="10">
        <f ca="1">TODAY()-135</f>
        <v>44086</v>
      </c>
      <c r="D1528" s="10" t="s">
        <v>3391</v>
      </c>
      <c r="E1528" s="12" t="s">
        <v>3456</v>
      </c>
      <c r="F1528" s="16">
        <v>270000</v>
      </c>
    </row>
    <row r="1529" spans="1:6" x14ac:dyDescent="0.2">
      <c r="A1529" s="8" t="s">
        <v>1553</v>
      </c>
      <c r="B1529" s="9">
        <v>17601122147</v>
      </c>
      <c r="C1529" s="10">
        <f ca="1">TODAY()-4391</f>
        <v>39830</v>
      </c>
      <c r="D1529" s="10" t="s">
        <v>3391</v>
      </c>
      <c r="E1529" s="12" t="s">
        <v>3532</v>
      </c>
      <c r="F1529" s="16">
        <v>430000</v>
      </c>
    </row>
    <row r="1530" spans="1:6" x14ac:dyDescent="0.2">
      <c r="A1530" s="8" t="s">
        <v>2252</v>
      </c>
      <c r="B1530" s="9">
        <v>28209055860</v>
      </c>
      <c r="C1530" s="10">
        <f ca="1">TODAY()-742</f>
        <v>43479</v>
      </c>
      <c r="D1530" s="10" t="s">
        <v>3399</v>
      </c>
      <c r="E1530" s="12" t="s">
        <v>3431</v>
      </c>
      <c r="F1530" s="16">
        <v>425000</v>
      </c>
    </row>
    <row r="1531" spans="1:6" x14ac:dyDescent="0.2">
      <c r="A1531" s="8" t="s">
        <v>2266</v>
      </c>
      <c r="B1531" s="9">
        <v>16104185511</v>
      </c>
      <c r="C1531" s="10">
        <f ca="1">TODAY()-3700</f>
        <v>40521</v>
      </c>
      <c r="D1531" s="10" t="s">
        <v>3380</v>
      </c>
      <c r="E1531" s="12" t="s">
        <v>3551</v>
      </c>
      <c r="F1531" s="16">
        <v>390000</v>
      </c>
    </row>
    <row r="1532" spans="1:6" x14ac:dyDescent="0.2">
      <c r="A1532" s="8" t="s">
        <v>1873</v>
      </c>
      <c r="B1532" s="9">
        <v>17506045371</v>
      </c>
      <c r="C1532" s="10">
        <f ca="1">TODAY()-824</f>
        <v>43397</v>
      </c>
      <c r="D1532" s="10" t="s">
        <v>3391</v>
      </c>
      <c r="E1532" s="12" t="s">
        <v>3412</v>
      </c>
      <c r="F1532" s="16">
        <v>500000</v>
      </c>
    </row>
    <row r="1533" spans="1:6" x14ac:dyDescent="0.2">
      <c r="A1533" s="8" t="s">
        <v>908</v>
      </c>
      <c r="B1533" s="9">
        <v>26507163550</v>
      </c>
      <c r="C1533" s="10">
        <f ca="1">TODAY()-1302</f>
        <v>42919</v>
      </c>
      <c r="D1533" s="10" t="s">
        <v>2292</v>
      </c>
      <c r="E1533" s="12" t="s">
        <v>2292</v>
      </c>
      <c r="F1533" s="16">
        <v>270000</v>
      </c>
    </row>
    <row r="1534" spans="1:6" x14ac:dyDescent="0.2">
      <c r="A1534" s="8" t="s">
        <v>2205</v>
      </c>
      <c r="B1534" s="9">
        <v>17306057009</v>
      </c>
      <c r="C1534" s="10">
        <f ca="1">TODAY()-3153</f>
        <v>41068</v>
      </c>
      <c r="D1534" s="10" t="s">
        <v>3392</v>
      </c>
      <c r="E1534" s="12" t="s">
        <v>3422</v>
      </c>
      <c r="F1534" s="16">
        <v>405000</v>
      </c>
    </row>
    <row r="1535" spans="1:6" x14ac:dyDescent="0.2">
      <c r="A1535" s="8" t="s">
        <v>801</v>
      </c>
      <c r="B1535" s="9">
        <v>16405014217</v>
      </c>
      <c r="C1535" s="10">
        <f ca="1">TODAY()-2461</f>
        <v>41760</v>
      </c>
      <c r="D1535" s="10" t="s">
        <v>2291</v>
      </c>
      <c r="E1535" s="12" t="s">
        <v>3481</v>
      </c>
      <c r="F1535" s="16">
        <v>335000</v>
      </c>
    </row>
    <row r="1536" spans="1:6" x14ac:dyDescent="0.2">
      <c r="A1536" s="8" t="s">
        <v>799</v>
      </c>
      <c r="B1536" s="9">
        <v>28808105929</v>
      </c>
      <c r="C1536" s="10">
        <f ca="1">TODAY()-2407</f>
        <v>41814</v>
      </c>
      <c r="D1536" s="10" t="s">
        <v>3401</v>
      </c>
      <c r="E1536" s="12" t="s">
        <v>3440</v>
      </c>
      <c r="F1536" s="16">
        <v>350000</v>
      </c>
    </row>
    <row r="1537" spans="1:6" x14ac:dyDescent="0.2">
      <c r="A1537" s="8" t="s">
        <v>784</v>
      </c>
      <c r="B1537" s="9">
        <v>27208057981</v>
      </c>
      <c r="C1537" s="10">
        <f ca="1">TODAY()-442</f>
        <v>43779</v>
      </c>
      <c r="D1537" s="10" t="s">
        <v>3392</v>
      </c>
      <c r="E1537" s="12" t="s">
        <v>3509</v>
      </c>
      <c r="F1537" s="16">
        <v>245000</v>
      </c>
    </row>
    <row r="1538" spans="1:6" x14ac:dyDescent="0.2">
      <c r="A1538" s="8" t="s">
        <v>677</v>
      </c>
      <c r="B1538" s="9">
        <v>18406269283</v>
      </c>
      <c r="C1538" s="10">
        <f ca="1">TODAY()-3313</f>
        <v>40908</v>
      </c>
      <c r="D1538" s="10" t="s">
        <v>3388</v>
      </c>
      <c r="E1538" s="12" t="s">
        <v>3477</v>
      </c>
      <c r="F1538" s="16">
        <v>420000</v>
      </c>
    </row>
    <row r="1539" spans="1:6" x14ac:dyDescent="0.2">
      <c r="A1539" s="8" t="s">
        <v>880</v>
      </c>
      <c r="B1539" s="9">
        <v>16004114990</v>
      </c>
      <c r="C1539" s="10">
        <f ca="1">TODAY()-3556</f>
        <v>40665</v>
      </c>
      <c r="D1539" s="10" t="s">
        <v>2289</v>
      </c>
      <c r="E1539" s="12" t="s">
        <v>3536</v>
      </c>
      <c r="F1539" s="16">
        <v>220000</v>
      </c>
    </row>
    <row r="1540" spans="1:6" x14ac:dyDescent="0.2">
      <c r="A1540" s="8" t="s">
        <v>586</v>
      </c>
      <c r="B1540" s="9">
        <v>26802198206</v>
      </c>
      <c r="C1540" s="10">
        <f ca="1">TODAY()-2163</f>
        <v>42058</v>
      </c>
      <c r="D1540" s="10" t="s">
        <v>3384</v>
      </c>
      <c r="E1540" s="12" t="s">
        <v>3559</v>
      </c>
      <c r="F1540" s="16">
        <v>340000</v>
      </c>
    </row>
    <row r="1541" spans="1:6" x14ac:dyDescent="0.2">
      <c r="A1541" s="8" t="s">
        <v>1353</v>
      </c>
      <c r="B1541" s="9">
        <v>17012135393</v>
      </c>
      <c r="C1541" s="10">
        <f ca="1">TODAY()-3404</f>
        <v>40817</v>
      </c>
      <c r="D1541" s="10" t="s">
        <v>2294</v>
      </c>
      <c r="E1541" s="12" t="s">
        <v>3448</v>
      </c>
      <c r="F1541" s="16">
        <v>220000</v>
      </c>
    </row>
    <row r="1542" spans="1:6" x14ac:dyDescent="0.2">
      <c r="A1542" s="8" t="s">
        <v>1028</v>
      </c>
      <c r="B1542" s="9">
        <v>28509286342</v>
      </c>
      <c r="C1542" s="10">
        <f ca="1">TODAY()-3621</f>
        <v>40600</v>
      </c>
      <c r="D1542" s="10" t="s">
        <v>2294</v>
      </c>
      <c r="E1542" s="12" t="s">
        <v>3426</v>
      </c>
      <c r="F1542" s="16">
        <v>295000</v>
      </c>
    </row>
    <row r="1543" spans="1:6" x14ac:dyDescent="0.2">
      <c r="A1543" s="8" t="s">
        <v>1974</v>
      </c>
      <c r="B1543" s="9">
        <v>28004018582</v>
      </c>
      <c r="C1543" s="10">
        <f ca="1">TODAY()-3784</f>
        <v>40437</v>
      </c>
      <c r="D1543" s="10" t="s">
        <v>2292</v>
      </c>
      <c r="E1543" s="12" t="s">
        <v>3556</v>
      </c>
      <c r="F1543" s="16">
        <v>190000</v>
      </c>
    </row>
    <row r="1544" spans="1:6" x14ac:dyDescent="0.2">
      <c r="A1544" s="8" t="s">
        <v>1590</v>
      </c>
      <c r="B1544" s="9">
        <v>18608279442</v>
      </c>
      <c r="C1544" s="10">
        <f ca="1">TODAY()-2101</f>
        <v>42120</v>
      </c>
      <c r="D1544" s="10" t="s">
        <v>3382</v>
      </c>
      <c r="E1544" s="12" t="s">
        <v>3424</v>
      </c>
      <c r="F1544" s="16">
        <v>330000</v>
      </c>
    </row>
    <row r="1545" spans="1:6" x14ac:dyDescent="0.2">
      <c r="A1545" s="8" t="s">
        <v>775</v>
      </c>
      <c r="B1545" s="9">
        <v>16904044072</v>
      </c>
      <c r="C1545" s="10">
        <f ca="1">TODAY()-1034</f>
        <v>43187</v>
      </c>
      <c r="D1545" s="10" t="s">
        <v>2291</v>
      </c>
      <c r="E1545" s="12" t="s">
        <v>3526</v>
      </c>
      <c r="F1545" s="16">
        <v>360000</v>
      </c>
    </row>
    <row r="1546" spans="1:6" x14ac:dyDescent="0.2">
      <c r="A1546" s="8" t="s">
        <v>1390</v>
      </c>
      <c r="B1546" s="9">
        <v>16204281482</v>
      </c>
      <c r="C1546" s="10">
        <f ca="1">TODAY()-1529</f>
        <v>42692</v>
      </c>
      <c r="D1546" s="10" t="s">
        <v>3382</v>
      </c>
      <c r="E1546" s="12" t="s">
        <v>3382</v>
      </c>
      <c r="F1546" s="16">
        <v>335000</v>
      </c>
    </row>
    <row r="1547" spans="1:6" x14ac:dyDescent="0.2">
      <c r="A1547" s="8" t="s">
        <v>2235</v>
      </c>
      <c r="B1547" s="9">
        <v>28007099228</v>
      </c>
      <c r="C1547" s="10">
        <f ca="1">TODAY()-809</f>
        <v>43412</v>
      </c>
      <c r="D1547" s="10" t="s">
        <v>2287</v>
      </c>
      <c r="E1547" s="12" t="s">
        <v>3553</v>
      </c>
      <c r="F1547" s="16">
        <v>285000</v>
      </c>
    </row>
    <row r="1548" spans="1:6" x14ac:dyDescent="0.2">
      <c r="A1548" s="8" t="s">
        <v>2224</v>
      </c>
      <c r="B1548" s="9">
        <v>26501029422</v>
      </c>
      <c r="C1548" s="10">
        <f ca="1">TODAY()-2143</f>
        <v>42078</v>
      </c>
      <c r="D1548" s="10" t="s">
        <v>2293</v>
      </c>
      <c r="E1548" s="12" t="s">
        <v>3465</v>
      </c>
      <c r="F1548" s="16">
        <v>395000</v>
      </c>
    </row>
    <row r="1549" spans="1:6" x14ac:dyDescent="0.2">
      <c r="A1549" s="8" t="s">
        <v>1360</v>
      </c>
      <c r="B1549" s="9">
        <v>16006179451</v>
      </c>
      <c r="C1549" s="10">
        <f ca="1">TODAY()-1923</f>
        <v>42298</v>
      </c>
      <c r="D1549" s="10" t="s">
        <v>3402</v>
      </c>
      <c r="E1549" s="12" t="s">
        <v>3556</v>
      </c>
      <c r="F1549" s="16">
        <v>280000</v>
      </c>
    </row>
    <row r="1550" spans="1:6" x14ac:dyDescent="0.2">
      <c r="A1550" s="8" t="s">
        <v>1919</v>
      </c>
      <c r="B1550" s="9">
        <v>16407208505</v>
      </c>
      <c r="C1550" s="10">
        <f ca="1">TODAY()-1303</f>
        <v>42918</v>
      </c>
      <c r="D1550" s="10" t="s">
        <v>3389</v>
      </c>
      <c r="E1550" s="12" t="s">
        <v>3411</v>
      </c>
      <c r="F1550" s="16">
        <v>205000</v>
      </c>
    </row>
    <row r="1551" spans="1:6" x14ac:dyDescent="0.2">
      <c r="A1551" s="8" t="s">
        <v>1989</v>
      </c>
      <c r="B1551" s="9">
        <v>28101014354</v>
      </c>
      <c r="C1551" s="10">
        <f ca="1">TODAY()-1247</f>
        <v>42974</v>
      </c>
      <c r="D1551" s="10" t="s">
        <v>2300</v>
      </c>
      <c r="E1551" s="12" t="s">
        <v>3457</v>
      </c>
      <c r="F1551" s="16">
        <v>265000</v>
      </c>
    </row>
    <row r="1552" spans="1:6" x14ac:dyDescent="0.2">
      <c r="A1552" s="8" t="s">
        <v>1965</v>
      </c>
      <c r="B1552" s="9">
        <v>17905213521</v>
      </c>
      <c r="C1552" s="10">
        <f ca="1">TODAY()-4808</f>
        <v>39413</v>
      </c>
      <c r="D1552" s="10" t="s">
        <v>2302</v>
      </c>
      <c r="E1552" s="12" t="s">
        <v>3455</v>
      </c>
      <c r="F1552" s="16">
        <v>370000</v>
      </c>
    </row>
    <row r="1553" spans="1:6" x14ac:dyDescent="0.2">
      <c r="A1553" s="8" t="s">
        <v>1069</v>
      </c>
      <c r="B1553" s="9">
        <v>18211067801</v>
      </c>
      <c r="C1553" s="10">
        <f ca="1">TODAY()-3647</f>
        <v>40574</v>
      </c>
      <c r="D1553" s="10" t="s">
        <v>3378</v>
      </c>
      <c r="E1553" s="12" t="s">
        <v>3458</v>
      </c>
      <c r="F1553" s="16">
        <v>235000</v>
      </c>
    </row>
    <row r="1554" spans="1:6" x14ac:dyDescent="0.2">
      <c r="A1554" s="8" t="s">
        <v>1022</v>
      </c>
      <c r="B1554" s="9">
        <v>16207084823</v>
      </c>
      <c r="C1554" s="10">
        <f ca="1">TODAY()-1515</f>
        <v>42706</v>
      </c>
      <c r="D1554" s="10" t="s">
        <v>2284</v>
      </c>
      <c r="E1554" s="12" t="s">
        <v>3491</v>
      </c>
      <c r="F1554" s="16">
        <v>320000</v>
      </c>
    </row>
    <row r="1555" spans="1:6" x14ac:dyDescent="0.2">
      <c r="A1555" s="8" t="s">
        <v>1111</v>
      </c>
      <c r="B1555" s="9">
        <v>18209021460</v>
      </c>
      <c r="C1555" s="10">
        <f ca="1">TODAY()-4675</f>
        <v>39546</v>
      </c>
      <c r="D1555" s="10" t="s">
        <v>2294</v>
      </c>
      <c r="E1555" s="12" t="s">
        <v>3511</v>
      </c>
      <c r="F1555" s="16">
        <v>270000</v>
      </c>
    </row>
    <row r="1556" spans="1:6" x14ac:dyDescent="0.2">
      <c r="A1556" s="8" t="s">
        <v>2092</v>
      </c>
      <c r="B1556" s="9">
        <v>18811267019</v>
      </c>
      <c r="C1556" s="10">
        <f ca="1">TODAY()-1372</f>
        <v>42849</v>
      </c>
      <c r="D1556" s="10" t="s">
        <v>3390</v>
      </c>
      <c r="E1556" s="12" t="s">
        <v>3486</v>
      </c>
      <c r="F1556" s="16">
        <v>445000</v>
      </c>
    </row>
    <row r="1557" spans="1:6" x14ac:dyDescent="0.2">
      <c r="A1557" s="8" t="s">
        <v>1227</v>
      </c>
      <c r="B1557" s="9">
        <v>18701116804</v>
      </c>
      <c r="C1557" s="10">
        <f ca="1">TODAY()-587</f>
        <v>43634</v>
      </c>
      <c r="D1557" s="10" t="s">
        <v>2286</v>
      </c>
      <c r="E1557" s="12" t="s">
        <v>3433</v>
      </c>
      <c r="F1557" s="16">
        <v>470000</v>
      </c>
    </row>
    <row r="1558" spans="1:6" x14ac:dyDescent="0.2">
      <c r="A1558" s="8" t="s">
        <v>1296</v>
      </c>
      <c r="B1558" s="9">
        <v>29007155315</v>
      </c>
      <c r="C1558" s="10">
        <f ca="1">TODAY()-95</f>
        <v>44126</v>
      </c>
      <c r="D1558" s="10" t="s">
        <v>3378</v>
      </c>
      <c r="E1558" s="12" t="s">
        <v>3454</v>
      </c>
      <c r="F1558" s="16">
        <v>210000</v>
      </c>
    </row>
    <row r="1559" spans="1:6" x14ac:dyDescent="0.2">
      <c r="A1559" s="8" t="s">
        <v>1960</v>
      </c>
      <c r="B1559" s="9">
        <v>18702046520</v>
      </c>
      <c r="C1559" s="10">
        <f ca="1">TODAY()-2764</f>
        <v>41457</v>
      </c>
      <c r="D1559" s="10" t="s">
        <v>3397</v>
      </c>
      <c r="E1559" s="12" t="s">
        <v>3488</v>
      </c>
      <c r="F1559" s="16">
        <v>175000</v>
      </c>
    </row>
    <row r="1560" spans="1:6" x14ac:dyDescent="0.2">
      <c r="A1560" s="8" t="s">
        <v>1349</v>
      </c>
      <c r="B1560" s="9">
        <v>28202067887</v>
      </c>
      <c r="C1560" s="10">
        <f ca="1">TODAY()-4093</f>
        <v>40128</v>
      </c>
      <c r="D1560" s="10" t="s">
        <v>2289</v>
      </c>
      <c r="E1560" s="12" t="s">
        <v>3484</v>
      </c>
      <c r="F1560" s="16">
        <v>275000</v>
      </c>
    </row>
    <row r="1561" spans="1:6" x14ac:dyDescent="0.2">
      <c r="A1561" s="8" t="s">
        <v>1613</v>
      </c>
      <c r="B1561" s="9">
        <v>16603285086</v>
      </c>
      <c r="C1561" s="10">
        <f ca="1">TODAY()-3780</f>
        <v>40441</v>
      </c>
      <c r="D1561" s="10" t="s">
        <v>3394</v>
      </c>
      <c r="E1561" s="12" t="s">
        <v>3533</v>
      </c>
      <c r="F1561" s="16">
        <v>480000</v>
      </c>
    </row>
    <row r="1562" spans="1:6" x14ac:dyDescent="0.2">
      <c r="A1562" s="8" t="s">
        <v>1132</v>
      </c>
      <c r="B1562" s="9">
        <v>16009135744</v>
      </c>
      <c r="C1562" s="10">
        <f ca="1">TODAY()-1578</f>
        <v>42643</v>
      </c>
      <c r="D1562" s="10" t="s">
        <v>2304</v>
      </c>
      <c r="E1562" s="12" t="s">
        <v>3494</v>
      </c>
      <c r="F1562" s="16">
        <v>285000</v>
      </c>
    </row>
    <row r="1563" spans="1:6" x14ac:dyDescent="0.2">
      <c r="A1563" s="8" t="s">
        <v>1617</v>
      </c>
      <c r="B1563" s="9">
        <v>18508258324</v>
      </c>
      <c r="C1563" s="10">
        <f ca="1">TODAY()-3249</f>
        <v>40972</v>
      </c>
      <c r="D1563" s="10" t="s">
        <v>2294</v>
      </c>
      <c r="E1563" s="12" t="s">
        <v>3521</v>
      </c>
      <c r="F1563" s="16">
        <v>315000</v>
      </c>
    </row>
    <row r="1564" spans="1:6" x14ac:dyDescent="0.2">
      <c r="A1564" s="8" t="s">
        <v>2016</v>
      </c>
      <c r="B1564" s="9">
        <v>28308169287</v>
      </c>
      <c r="C1564" s="10">
        <f ca="1">TODAY()-3037</f>
        <v>41184</v>
      </c>
      <c r="D1564" s="10" t="s">
        <v>3378</v>
      </c>
      <c r="E1564" s="12" t="s">
        <v>3378</v>
      </c>
      <c r="F1564" s="16">
        <v>330000</v>
      </c>
    </row>
    <row r="1565" spans="1:6" x14ac:dyDescent="0.2">
      <c r="A1565" s="8" t="s">
        <v>1844</v>
      </c>
      <c r="B1565" s="9">
        <v>17609273336</v>
      </c>
      <c r="C1565" s="10">
        <f ca="1">TODAY()-875</f>
        <v>43346</v>
      </c>
      <c r="D1565" s="10" t="s">
        <v>3388</v>
      </c>
      <c r="E1565" s="12" t="s">
        <v>3423</v>
      </c>
      <c r="F1565" s="16">
        <v>485000</v>
      </c>
    </row>
    <row r="1566" spans="1:6" x14ac:dyDescent="0.2">
      <c r="A1566" s="8" t="s">
        <v>1713</v>
      </c>
      <c r="B1566" s="9">
        <v>26107175150</v>
      </c>
      <c r="C1566" s="10">
        <f ca="1">TODAY()-4236</f>
        <v>39985</v>
      </c>
      <c r="D1566" s="10" t="s">
        <v>2296</v>
      </c>
      <c r="E1566" s="12" t="s">
        <v>2296</v>
      </c>
      <c r="F1566" s="16">
        <v>235000</v>
      </c>
    </row>
    <row r="1567" spans="1:6" x14ac:dyDescent="0.2">
      <c r="A1567" s="8" t="s">
        <v>1648</v>
      </c>
      <c r="B1567" s="9">
        <v>18904037763</v>
      </c>
      <c r="C1567" s="10">
        <f ca="1">TODAY()-4321</f>
        <v>39900</v>
      </c>
      <c r="D1567" s="10" t="s">
        <v>2298</v>
      </c>
      <c r="E1567" s="12" t="s">
        <v>3477</v>
      </c>
      <c r="F1567" s="16">
        <v>265000</v>
      </c>
    </row>
    <row r="1568" spans="1:6" x14ac:dyDescent="0.2">
      <c r="A1568" s="8" t="s">
        <v>1555</v>
      </c>
      <c r="B1568" s="9">
        <v>28702137136</v>
      </c>
      <c r="C1568" s="10">
        <f ca="1">TODAY()-2408</f>
        <v>41813</v>
      </c>
      <c r="D1568" s="10" t="s">
        <v>3379</v>
      </c>
      <c r="E1568" s="12" t="s">
        <v>3457</v>
      </c>
      <c r="F1568" s="16">
        <v>470000</v>
      </c>
    </row>
    <row r="1569" spans="1:6" x14ac:dyDescent="0.2">
      <c r="A1569" s="8" t="s">
        <v>1899</v>
      </c>
      <c r="B1569" s="9">
        <v>17506284494</v>
      </c>
      <c r="C1569" s="10">
        <f ca="1">TODAY()-2327</f>
        <v>41894</v>
      </c>
      <c r="D1569" s="10" t="s">
        <v>2291</v>
      </c>
      <c r="E1569" s="12" t="s">
        <v>3403</v>
      </c>
      <c r="F1569" s="16">
        <v>220000</v>
      </c>
    </row>
    <row r="1570" spans="1:6" x14ac:dyDescent="0.2">
      <c r="A1570" s="8" t="s">
        <v>572</v>
      </c>
      <c r="B1570" s="9">
        <v>17908079079</v>
      </c>
      <c r="C1570" s="10">
        <f ca="1">TODAY()-3579</f>
        <v>40642</v>
      </c>
      <c r="D1570" s="10" t="s">
        <v>2304</v>
      </c>
      <c r="E1570" s="12" t="s">
        <v>3435</v>
      </c>
      <c r="F1570" s="16">
        <v>305000</v>
      </c>
    </row>
    <row r="1571" spans="1:6" x14ac:dyDescent="0.2">
      <c r="A1571" s="8" t="s">
        <v>606</v>
      </c>
      <c r="B1571" s="9">
        <v>16508104597</v>
      </c>
      <c r="C1571" s="10">
        <f ca="1">TODAY()-3281</f>
        <v>40940</v>
      </c>
      <c r="D1571" s="10" t="s">
        <v>3394</v>
      </c>
      <c r="E1571" s="12" t="s">
        <v>3394</v>
      </c>
      <c r="F1571" s="16">
        <v>270000</v>
      </c>
    </row>
    <row r="1572" spans="1:6" x14ac:dyDescent="0.2">
      <c r="A1572" s="8" t="s">
        <v>1698</v>
      </c>
      <c r="B1572" s="9">
        <v>18106078647</v>
      </c>
      <c r="C1572" s="10">
        <f ca="1">TODAY()-3129</f>
        <v>41092</v>
      </c>
      <c r="D1572" s="10" t="s">
        <v>2289</v>
      </c>
      <c r="E1572" s="12" t="s">
        <v>3403</v>
      </c>
      <c r="F1572" s="16">
        <v>415000</v>
      </c>
    </row>
    <row r="1573" spans="1:6" x14ac:dyDescent="0.2">
      <c r="A1573" s="8" t="s">
        <v>1796</v>
      </c>
      <c r="B1573" s="9">
        <v>17209083281</v>
      </c>
      <c r="C1573" s="10">
        <f ca="1">TODAY()-2112</f>
        <v>42109</v>
      </c>
      <c r="D1573" s="10" t="s">
        <v>3392</v>
      </c>
      <c r="E1573" s="12" t="s">
        <v>3489</v>
      </c>
      <c r="F1573" s="16">
        <v>385000</v>
      </c>
    </row>
    <row r="1574" spans="1:6" x14ac:dyDescent="0.2">
      <c r="A1574" s="8" t="s">
        <v>603</v>
      </c>
      <c r="B1574" s="9">
        <v>18505167032</v>
      </c>
      <c r="C1574" s="10">
        <f ca="1">TODAY()-2754</f>
        <v>41467</v>
      </c>
      <c r="D1574" s="10" t="s">
        <v>3381</v>
      </c>
      <c r="E1574" s="12" t="s">
        <v>3514</v>
      </c>
      <c r="F1574" s="16">
        <v>490000</v>
      </c>
    </row>
    <row r="1575" spans="1:6" x14ac:dyDescent="0.2">
      <c r="A1575" s="8" t="s">
        <v>759</v>
      </c>
      <c r="B1575" s="9">
        <v>27903119009</v>
      </c>
      <c r="C1575" s="10">
        <f ca="1">TODAY()-4340</f>
        <v>39881</v>
      </c>
      <c r="D1575" s="10" t="s">
        <v>3379</v>
      </c>
      <c r="E1575" s="12" t="s">
        <v>3534</v>
      </c>
      <c r="F1575" s="16">
        <v>310000</v>
      </c>
    </row>
    <row r="1576" spans="1:6" x14ac:dyDescent="0.2">
      <c r="A1576" s="8" t="s">
        <v>1032</v>
      </c>
      <c r="B1576" s="9">
        <v>27809078860</v>
      </c>
      <c r="C1576" s="10">
        <f ca="1">TODAY()-4957</f>
        <v>39264</v>
      </c>
      <c r="D1576" s="10" t="s">
        <v>2303</v>
      </c>
      <c r="E1576" s="12" t="s">
        <v>3518</v>
      </c>
      <c r="F1576" s="16">
        <v>340000</v>
      </c>
    </row>
    <row r="1577" spans="1:6" x14ac:dyDescent="0.2">
      <c r="A1577" s="8" t="s">
        <v>2133</v>
      </c>
      <c r="B1577" s="9">
        <v>16708132423</v>
      </c>
      <c r="C1577" s="10">
        <f ca="1">TODAY()-1932</f>
        <v>42289</v>
      </c>
      <c r="D1577" s="10" t="s">
        <v>3388</v>
      </c>
      <c r="E1577" s="12" t="s">
        <v>3454</v>
      </c>
      <c r="F1577" s="16">
        <v>355000</v>
      </c>
    </row>
    <row r="1578" spans="1:6" x14ac:dyDescent="0.2">
      <c r="A1578" s="8" t="s">
        <v>1070</v>
      </c>
      <c r="B1578" s="9">
        <v>18503132850</v>
      </c>
      <c r="C1578" s="10">
        <f ca="1">TODAY()-566</f>
        <v>43655</v>
      </c>
      <c r="D1578" s="10" t="s">
        <v>2297</v>
      </c>
      <c r="E1578" s="12" t="s">
        <v>3559</v>
      </c>
      <c r="F1578" s="16">
        <v>425000</v>
      </c>
    </row>
    <row r="1579" spans="1:6" x14ac:dyDescent="0.2">
      <c r="A1579" s="8" t="s">
        <v>1204</v>
      </c>
      <c r="B1579" s="9">
        <v>16106209384</v>
      </c>
      <c r="C1579" s="10">
        <f ca="1">TODAY()-3573</f>
        <v>40648</v>
      </c>
      <c r="D1579" s="10" t="s">
        <v>3393</v>
      </c>
      <c r="E1579" s="12" t="s">
        <v>3522</v>
      </c>
      <c r="F1579" s="16">
        <v>345000</v>
      </c>
    </row>
    <row r="1580" spans="1:6" x14ac:dyDescent="0.2">
      <c r="A1580" s="8" t="s">
        <v>1811</v>
      </c>
      <c r="B1580" s="9">
        <v>18005024424</v>
      </c>
      <c r="C1580" s="10">
        <f ca="1">TODAY()-4450</f>
        <v>39771</v>
      </c>
      <c r="D1580" s="10" t="s">
        <v>3381</v>
      </c>
      <c r="E1580" s="12" t="s">
        <v>3381</v>
      </c>
      <c r="F1580" s="16">
        <v>410000</v>
      </c>
    </row>
    <row r="1581" spans="1:6" x14ac:dyDescent="0.2">
      <c r="A1581" s="8" t="s">
        <v>1499</v>
      </c>
      <c r="B1581" s="9">
        <v>26605097412</v>
      </c>
      <c r="C1581" s="10">
        <f ca="1">TODAY()-1696</f>
        <v>42525</v>
      </c>
      <c r="D1581" s="10" t="s">
        <v>3402</v>
      </c>
      <c r="E1581" s="12" t="s">
        <v>3549</v>
      </c>
      <c r="F1581" s="16">
        <v>465000</v>
      </c>
    </row>
    <row r="1582" spans="1:6" x14ac:dyDescent="0.2">
      <c r="A1582" s="8" t="s">
        <v>2261</v>
      </c>
      <c r="B1582" s="9">
        <v>18802123570</v>
      </c>
      <c r="C1582" s="10">
        <f ca="1">TODAY()-3254</f>
        <v>40967</v>
      </c>
      <c r="D1582" s="10" t="s">
        <v>2301</v>
      </c>
      <c r="E1582" s="12" t="s">
        <v>3477</v>
      </c>
      <c r="F1582" s="16">
        <v>290000</v>
      </c>
    </row>
    <row r="1583" spans="1:6" x14ac:dyDescent="0.2">
      <c r="A1583" s="8" t="s">
        <v>1194</v>
      </c>
      <c r="B1583" s="9">
        <v>18802075187</v>
      </c>
      <c r="C1583" s="10">
        <f ca="1">TODAY()-1632</f>
        <v>42589</v>
      </c>
      <c r="D1583" s="10" t="s">
        <v>2285</v>
      </c>
      <c r="E1583" s="12" t="s">
        <v>3456</v>
      </c>
      <c r="F1583" s="16">
        <v>205000</v>
      </c>
    </row>
    <row r="1584" spans="1:6" x14ac:dyDescent="0.2">
      <c r="A1584" s="8" t="s">
        <v>2149</v>
      </c>
      <c r="B1584" s="9">
        <v>16411054810</v>
      </c>
      <c r="C1584" s="10">
        <f ca="1">TODAY()-2185</f>
        <v>42036</v>
      </c>
      <c r="D1584" s="10" t="s">
        <v>2299</v>
      </c>
      <c r="E1584" s="12" t="s">
        <v>3414</v>
      </c>
      <c r="F1584" s="16">
        <v>205000</v>
      </c>
    </row>
    <row r="1585" spans="1:6" x14ac:dyDescent="0.2">
      <c r="A1585" s="8" t="s">
        <v>947</v>
      </c>
      <c r="B1585" s="9">
        <v>29003272140</v>
      </c>
      <c r="C1585" s="10">
        <f ca="1">TODAY()-2028</f>
        <v>42193</v>
      </c>
      <c r="D1585" s="10" t="s">
        <v>2293</v>
      </c>
      <c r="E1585" s="12" t="s">
        <v>3517</v>
      </c>
      <c r="F1585" s="16">
        <v>395000</v>
      </c>
    </row>
    <row r="1586" spans="1:6" x14ac:dyDescent="0.2">
      <c r="A1586" s="8" t="s">
        <v>1025</v>
      </c>
      <c r="B1586" s="9">
        <v>26905092565</v>
      </c>
      <c r="C1586" s="10">
        <f ca="1">TODAY()-1803</f>
        <v>42418</v>
      </c>
      <c r="D1586" s="10" t="s">
        <v>2299</v>
      </c>
      <c r="E1586" s="12" t="s">
        <v>3416</v>
      </c>
      <c r="F1586" s="16">
        <v>225000</v>
      </c>
    </row>
    <row r="1587" spans="1:6" x14ac:dyDescent="0.2">
      <c r="A1587" s="8" t="s">
        <v>829</v>
      </c>
      <c r="B1587" s="9">
        <v>28509072071</v>
      </c>
      <c r="C1587" s="10">
        <f ca="1">TODAY()-3995</f>
        <v>40226</v>
      </c>
      <c r="D1587" s="10" t="s">
        <v>2298</v>
      </c>
      <c r="E1587" s="12" t="s">
        <v>3458</v>
      </c>
      <c r="F1587" s="16">
        <v>410000</v>
      </c>
    </row>
    <row r="1588" spans="1:6" x14ac:dyDescent="0.2">
      <c r="A1588" s="8" t="s">
        <v>730</v>
      </c>
      <c r="B1588" s="9">
        <v>16210141571</v>
      </c>
      <c r="C1588" s="10">
        <f ca="1">TODAY()-4600</f>
        <v>39621</v>
      </c>
      <c r="D1588" s="10" t="s">
        <v>3385</v>
      </c>
      <c r="E1588" s="12" t="s">
        <v>3514</v>
      </c>
      <c r="F1588" s="16">
        <v>320000</v>
      </c>
    </row>
    <row r="1589" spans="1:6" x14ac:dyDescent="0.2">
      <c r="A1589" s="8" t="s">
        <v>2282</v>
      </c>
      <c r="B1589" s="9">
        <v>27705147183</v>
      </c>
      <c r="C1589" s="10">
        <f ca="1">TODAY()-1931</f>
        <v>42290</v>
      </c>
      <c r="D1589" s="10" t="s">
        <v>3402</v>
      </c>
      <c r="E1589" s="12" t="s">
        <v>3427</v>
      </c>
      <c r="F1589" s="16">
        <v>175000</v>
      </c>
    </row>
    <row r="1590" spans="1:6" x14ac:dyDescent="0.2">
      <c r="A1590" s="8" t="s">
        <v>508</v>
      </c>
      <c r="B1590" s="9">
        <v>28504268401</v>
      </c>
      <c r="C1590" s="10">
        <f ca="1">TODAY()-1482</f>
        <v>42739</v>
      </c>
      <c r="D1590" s="10" t="s">
        <v>2285</v>
      </c>
      <c r="E1590" s="12" t="s">
        <v>3527</v>
      </c>
      <c r="F1590" s="16">
        <v>485000</v>
      </c>
    </row>
    <row r="1591" spans="1:6" x14ac:dyDescent="0.2">
      <c r="A1591" s="8" t="s">
        <v>883</v>
      </c>
      <c r="B1591" s="9">
        <v>28304088348</v>
      </c>
      <c r="C1591" s="10">
        <f ca="1">TODAY()-2327</f>
        <v>41894</v>
      </c>
      <c r="D1591" s="10" t="s">
        <v>2286</v>
      </c>
      <c r="E1591" s="12" t="s">
        <v>3410</v>
      </c>
      <c r="F1591" s="16">
        <v>275000</v>
      </c>
    </row>
    <row r="1592" spans="1:6" x14ac:dyDescent="0.2">
      <c r="A1592" s="8" t="s">
        <v>1260</v>
      </c>
      <c r="B1592" s="9">
        <v>17102243830</v>
      </c>
      <c r="C1592" s="10">
        <f ca="1">TODAY()-2994</f>
        <v>41227</v>
      </c>
      <c r="D1592" s="10" t="s">
        <v>2297</v>
      </c>
      <c r="E1592" s="12" t="s">
        <v>3438</v>
      </c>
      <c r="F1592" s="16">
        <v>455000</v>
      </c>
    </row>
    <row r="1593" spans="1:6" x14ac:dyDescent="0.2">
      <c r="A1593" s="8" t="s">
        <v>531</v>
      </c>
      <c r="B1593" s="9">
        <v>18210262531</v>
      </c>
      <c r="C1593" s="10">
        <f ca="1">TODAY()-2574</f>
        <v>41647</v>
      </c>
      <c r="D1593" s="10" t="s">
        <v>2298</v>
      </c>
      <c r="E1593" s="12" t="s">
        <v>3439</v>
      </c>
      <c r="F1593" s="16">
        <v>340000</v>
      </c>
    </row>
    <row r="1594" spans="1:6" x14ac:dyDescent="0.2">
      <c r="A1594" s="8" t="s">
        <v>1294</v>
      </c>
      <c r="B1594" s="9">
        <v>27303232973</v>
      </c>
      <c r="C1594" s="10">
        <f ca="1">TODAY()-3922</f>
        <v>40299</v>
      </c>
      <c r="D1594" s="10" t="s">
        <v>3387</v>
      </c>
      <c r="E1594" s="12" t="s">
        <v>3539</v>
      </c>
      <c r="F1594" s="16">
        <v>420000</v>
      </c>
    </row>
    <row r="1595" spans="1:6" x14ac:dyDescent="0.2">
      <c r="A1595" s="8" t="s">
        <v>486</v>
      </c>
      <c r="B1595" s="9">
        <v>27406225308</v>
      </c>
      <c r="C1595" s="10">
        <f ca="1">TODAY()-4968</f>
        <v>39253</v>
      </c>
      <c r="D1595" s="10" t="s">
        <v>3390</v>
      </c>
      <c r="E1595" s="12" t="s">
        <v>3457</v>
      </c>
      <c r="F1595" s="16">
        <v>490000</v>
      </c>
    </row>
    <row r="1596" spans="1:6" x14ac:dyDescent="0.2">
      <c r="A1596" s="8" t="s">
        <v>2147</v>
      </c>
      <c r="B1596" s="9">
        <v>17508271411</v>
      </c>
      <c r="C1596" s="10">
        <f ca="1">TODAY()-1441</f>
        <v>42780</v>
      </c>
      <c r="D1596" s="10" t="s">
        <v>2284</v>
      </c>
      <c r="E1596" s="12" t="s">
        <v>3469</v>
      </c>
      <c r="F1596" s="16">
        <v>350000</v>
      </c>
    </row>
    <row r="1597" spans="1:6" x14ac:dyDescent="0.2">
      <c r="A1597" s="8" t="s">
        <v>738</v>
      </c>
      <c r="B1597" s="9">
        <v>18606242226</v>
      </c>
      <c r="C1597" s="10">
        <f ca="1">TODAY()-3143</f>
        <v>41078</v>
      </c>
      <c r="D1597" s="10" t="s">
        <v>3398</v>
      </c>
      <c r="E1597" s="12" t="s">
        <v>3534</v>
      </c>
      <c r="F1597" s="16">
        <v>500000</v>
      </c>
    </row>
    <row r="1598" spans="1:6" x14ac:dyDescent="0.2">
      <c r="A1598" s="8" t="s">
        <v>1051</v>
      </c>
      <c r="B1598" s="9">
        <v>17410047482</v>
      </c>
      <c r="C1598" s="10">
        <f ca="1">TODAY()-1185</f>
        <v>43036</v>
      </c>
      <c r="D1598" s="10" t="s">
        <v>3380</v>
      </c>
      <c r="E1598" s="12" t="s">
        <v>3418</v>
      </c>
      <c r="F1598" s="16">
        <v>430000</v>
      </c>
    </row>
    <row r="1599" spans="1:6" x14ac:dyDescent="0.2">
      <c r="A1599" s="8" t="s">
        <v>2239</v>
      </c>
      <c r="B1599" s="9">
        <v>17001289620</v>
      </c>
      <c r="C1599" s="10">
        <f ca="1">TODAY()-1092</f>
        <v>43129</v>
      </c>
      <c r="D1599" s="10" t="s">
        <v>2291</v>
      </c>
      <c r="E1599" s="12" t="s">
        <v>3461</v>
      </c>
      <c r="F1599" s="16">
        <v>465000</v>
      </c>
    </row>
    <row r="1600" spans="1:6" x14ac:dyDescent="0.2">
      <c r="A1600" s="8" t="s">
        <v>1441</v>
      </c>
      <c r="B1600" s="9">
        <v>28710036449</v>
      </c>
      <c r="C1600" s="10">
        <f ca="1">TODAY()-1538</f>
        <v>42683</v>
      </c>
      <c r="D1600" s="10" t="s">
        <v>3379</v>
      </c>
      <c r="E1600" s="12" t="s">
        <v>3379</v>
      </c>
      <c r="F1600" s="16">
        <v>280000</v>
      </c>
    </row>
    <row r="1601" spans="1:6" x14ac:dyDescent="0.2">
      <c r="A1601" s="8" t="s">
        <v>887</v>
      </c>
      <c r="B1601" s="9">
        <v>17912247364</v>
      </c>
      <c r="C1601" s="10">
        <f ca="1">TODAY()-961</f>
        <v>43260</v>
      </c>
      <c r="D1601" s="10" t="s">
        <v>3398</v>
      </c>
      <c r="E1601" s="12" t="s">
        <v>3410</v>
      </c>
      <c r="F1601" s="16">
        <v>330000</v>
      </c>
    </row>
    <row r="1602" spans="1:6" x14ac:dyDescent="0.2">
      <c r="A1602" s="8" t="s">
        <v>1020</v>
      </c>
      <c r="B1602" s="9">
        <v>16104266673</v>
      </c>
      <c r="C1602" s="10">
        <f ca="1">TODAY()-2342</f>
        <v>41879</v>
      </c>
      <c r="D1602" s="10" t="s">
        <v>3395</v>
      </c>
      <c r="E1602" s="12" t="s">
        <v>3509</v>
      </c>
      <c r="F1602" s="16">
        <v>180000</v>
      </c>
    </row>
    <row r="1603" spans="1:6" x14ac:dyDescent="0.2">
      <c r="A1603" s="8" t="s">
        <v>1404</v>
      </c>
      <c r="B1603" s="9">
        <v>26202058796</v>
      </c>
      <c r="C1603" s="10">
        <f ca="1">TODAY()-1590</f>
        <v>42631</v>
      </c>
      <c r="D1603" s="10" t="s">
        <v>2291</v>
      </c>
      <c r="E1603" s="12" t="s">
        <v>2291</v>
      </c>
      <c r="F1603" s="16">
        <v>430000</v>
      </c>
    </row>
    <row r="1604" spans="1:6" x14ac:dyDescent="0.2">
      <c r="A1604" s="8" t="s">
        <v>2188</v>
      </c>
      <c r="B1604" s="9">
        <v>28312066416</v>
      </c>
      <c r="C1604" s="10">
        <f ca="1">TODAY()-3179</f>
        <v>41042</v>
      </c>
      <c r="D1604" s="10" t="s">
        <v>3394</v>
      </c>
      <c r="E1604" s="12" t="s">
        <v>3534</v>
      </c>
      <c r="F1604" s="16">
        <v>250000</v>
      </c>
    </row>
    <row r="1605" spans="1:6" x14ac:dyDescent="0.2">
      <c r="A1605" s="8" t="s">
        <v>1248</v>
      </c>
      <c r="B1605" s="9">
        <v>17411213685</v>
      </c>
      <c r="C1605" s="10">
        <f ca="1">TODAY()-313</f>
        <v>43908</v>
      </c>
      <c r="D1605" s="10" t="s">
        <v>3385</v>
      </c>
      <c r="E1605" s="12" t="s">
        <v>3546</v>
      </c>
      <c r="F1605" s="16">
        <v>460000</v>
      </c>
    </row>
    <row r="1606" spans="1:6" x14ac:dyDescent="0.2">
      <c r="A1606" s="8" t="s">
        <v>1850</v>
      </c>
      <c r="B1606" s="9">
        <v>26006109624</v>
      </c>
      <c r="C1606" s="10">
        <f ca="1">TODAY()-3755</f>
        <v>40466</v>
      </c>
      <c r="D1606" s="10" t="s">
        <v>2290</v>
      </c>
      <c r="E1606" s="12" t="s">
        <v>2290</v>
      </c>
      <c r="F1606" s="16">
        <v>185000</v>
      </c>
    </row>
    <row r="1607" spans="1:6" x14ac:dyDescent="0.2">
      <c r="A1607" s="8" t="s">
        <v>1699</v>
      </c>
      <c r="B1607" s="9">
        <v>18610226318</v>
      </c>
      <c r="C1607" s="10">
        <f ca="1">TODAY()-4710</f>
        <v>39511</v>
      </c>
      <c r="D1607" s="10" t="s">
        <v>2286</v>
      </c>
      <c r="E1607" s="12" t="s">
        <v>3487</v>
      </c>
      <c r="F1607" s="16">
        <v>440000</v>
      </c>
    </row>
    <row r="1608" spans="1:6" x14ac:dyDescent="0.2">
      <c r="A1608" s="8" t="s">
        <v>1272</v>
      </c>
      <c r="B1608" s="9">
        <v>17802238809</v>
      </c>
      <c r="C1608" s="10">
        <f ca="1">TODAY()-3751</f>
        <v>40470</v>
      </c>
      <c r="D1608" s="10" t="s">
        <v>3385</v>
      </c>
      <c r="E1608" s="12" t="s">
        <v>3408</v>
      </c>
      <c r="F1608" s="16">
        <v>210000</v>
      </c>
    </row>
    <row r="1609" spans="1:6" x14ac:dyDescent="0.2">
      <c r="A1609" s="8" t="s">
        <v>519</v>
      </c>
      <c r="B1609" s="9">
        <v>16406284990</v>
      </c>
      <c r="C1609" s="10">
        <f ca="1">TODAY()-2446</f>
        <v>41775</v>
      </c>
      <c r="D1609" s="10" t="s">
        <v>2284</v>
      </c>
      <c r="E1609" s="12" t="s">
        <v>3489</v>
      </c>
      <c r="F1609" s="16">
        <v>225000</v>
      </c>
    </row>
    <row r="1610" spans="1:6" x14ac:dyDescent="0.2">
      <c r="A1610" s="8" t="s">
        <v>1842</v>
      </c>
      <c r="B1610" s="9">
        <v>26501083659</v>
      </c>
      <c r="C1610" s="10">
        <f ca="1">TODAY()-172</f>
        <v>44049</v>
      </c>
      <c r="D1610" s="10" t="s">
        <v>2284</v>
      </c>
      <c r="E1610" s="12" t="s">
        <v>3469</v>
      </c>
      <c r="F1610" s="16">
        <v>355000</v>
      </c>
    </row>
    <row r="1611" spans="1:6" x14ac:dyDescent="0.2">
      <c r="A1611" s="8" t="s">
        <v>1469</v>
      </c>
      <c r="B1611" s="9">
        <v>26911288670</v>
      </c>
      <c r="C1611" s="10">
        <f ca="1">TODAY()-2468</f>
        <v>41753</v>
      </c>
      <c r="D1611" s="10" t="s">
        <v>3389</v>
      </c>
      <c r="E1611" s="12" t="s">
        <v>3486</v>
      </c>
      <c r="F1611" s="16">
        <v>220000</v>
      </c>
    </row>
    <row r="1612" spans="1:6" x14ac:dyDescent="0.2">
      <c r="A1612" s="8" t="s">
        <v>1196</v>
      </c>
      <c r="B1612" s="9">
        <v>17901279882</v>
      </c>
      <c r="C1612" s="10">
        <f ca="1">TODAY()-3310</f>
        <v>40911</v>
      </c>
      <c r="D1612" s="10" t="s">
        <v>2287</v>
      </c>
      <c r="E1612" s="12" t="s">
        <v>3436</v>
      </c>
      <c r="F1612" s="16">
        <v>345000</v>
      </c>
    </row>
    <row r="1613" spans="1:6" x14ac:dyDescent="0.2">
      <c r="A1613" s="8" t="s">
        <v>740</v>
      </c>
      <c r="B1613" s="9">
        <v>29008063673</v>
      </c>
      <c r="C1613" s="10">
        <f ca="1">TODAY()-2423</f>
        <v>41798</v>
      </c>
      <c r="D1613" s="10" t="s">
        <v>2286</v>
      </c>
      <c r="E1613" s="12" t="s">
        <v>3545</v>
      </c>
      <c r="F1613" s="16">
        <v>335000</v>
      </c>
    </row>
    <row r="1614" spans="1:6" x14ac:dyDescent="0.2">
      <c r="A1614" s="8" t="s">
        <v>1343</v>
      </c>
      <c r="B1614" s="9">
        <v>16010174268</v>
      </c>
      <c r="C1614" s="10">
        <f ca="1">TODAY()-1454</f>
        <v>42767</v>
      </c>
      <c r="D1614" s="10" t="s">
        <v>2300</v>
      </c>
      <c r="E1614" s="12" t="s">
        <v>3530</v>
      </c>
      <c r="F1614" s="16">
        <v>480000</v>
      </c>
    </row>
    <row r="1615" spans="1:6" x14ac:dyDescent="0.2">
      <c r="A1615" s="8" t="s">
        <v>1609</v>
      </c>
      <c r="B1615" s="9">
        <v>28105104183</v>
      </c>
      <c r="C1615" s="10">
        <f ca="1">TODAY()-1012</f>
        <v>43209</v>
      </c>
      <c r="D1615" s="10" t="s">
        <v>3378</v>
      </c>
      <c r="E1615" s="12" t="s">
        <v>3557</v>
      </c>
      <c r="F1615" s="16">
        <v>380000</v>
      </c>
    </row>
    <row r="1616" spans="1:6" x14ac:dyDescent="0.2">
      <c r="A1616" s="8" t="s">
        <v>441</v>
      </c>
      <c r="B1616" s="9">
        <v>26112216132</v>
      </c>
      <c r="C1616" s="10">
        <f ca="1">TODAY()-530</f>
        <v>43691</v>
      </c>
      <c r="D1616" s="10" t="s">
        <v>3397</v>
      </c>
      <c r="E1616" s="12" t="s">
        <v>3473</v>
      </c>
      <c r="F1616" s="16">
        <v>410000</v>
      </c>
    </row>
    <row r="1617" spans="1:6" x14ac:dyDescent="0.2">
      <c r="A1617" s="8" t="s">
        <v>2199</v>
      </c>
      <c r="B1617" s="9">
        <v>18801159287</v>
      </c>
      <c r="C1617" s="10">
        <f ca="1">TODAY()-4694</f>
        <v>39527</v>
      </c>
      <c r="D1617" s="10" t="s">
        <v>3389</v>
      </c>
      <c r="E1617" s="12" t="s">
        <v>3473</v>
      </c>
      <c r="F1617" s="16">
        <v>430000</v>
      </c>
    </row>
    <row r="1618" spans="1:6" x14ac:dyDescent="0.2">
      <c r="A1618" s="8" t="s">
        <v>2104</v>
      </c>
      <c r="B1618" s="9">
        <v>27009157942</v>
      </c>
      <c r="C1618" s="10">
        <f ca="1">TODAY()-1588</f>
        <v>42633</v>
      </c>
      <c r="D1618" s="10" t="s">
        <v>2292</v>
      </c>
      <c r="E1618" s="12" t="s">
        <v>3468</v>
      </c>
      <c r="F1618" s="16">
        <v>430000</v>
      </c>
    </row>
    <row r="1619" spans="1:6" x14ac:dyDescent="0.2">
      <c r="A1619" s="8" t="s">
        <v>679</v>
      </c>
      <c r="B1619" s="9">
        <v>16603077754</v>
      </c>
      <c r="C1619" s="10">
        <f ca="1">TODAY()-275</f>
        <v>43946</v>
      </c>
      <c r="D1619" s="10" t="s">
        <v>3380</v>
      </c>
      <c r="E1619" s="12" t="s">
        <v>3504</v>
      </c>
      <c r="F1619" s="16">
        <v>310000</v>
      </c>
    </row>
    <row r="1620" spans="1:6" x14ac:dyDescent="0.2">
      <c r="A1620" s="8" t="s">
        <v>700</v>
      </c>
      <c r="B1620" s="9">
        <v>27608287234</v>
      </c>
      <c r="C1620" s="10">
        <f ca="1">TODAY()-3461</f>
        <v>40760</v>
      </c>
      <c r="D1620" s="10" t="s">
        <v>2297</v>
      </c>
      <c r="E1620" s="12" t="s">
        <v>3539</v>
      </c>
      <c r="F1620" s="16">
        <v>225000</v>
      </c>
    </row>
    <row r="1621" spans="1:6" x14ac:dyDescent="0.2">
      <c r="A1621" s="8" t="s">
        <v>794</v>
      </c>
      <c r="B1621" s="9">
        <v>17603144620</v>
      </c>
      <c r="C1621" s="10">
        <f ca="1">TODAY()-1275</f>
        <v>42946</v>
      </c>
      <c r="D1621" s="10" t="s">
        <v>3383</v>
      </c>
      <c r="E1621" s="12" t="s">
        <v>3526</v>
      </c>
      <c r="F1621" s="16">
        <v>440000</v>
      </c>
    </row>
    <row r="1622" spans="1:6" x14ac:dyDescent="0.2">
      <c r="A1622" s="8" t="s">
        <v>1420</v>
      </c>
      <c r="B1622" s="9">
        <v>17305224869</v>
      </c>
      <c r="C1622" s="10">
        <f ca="1">TODAY()-1088</f>
        <v>43133</v>
      </c>
      <c r="D1622" s="10" t="s">
        <v>3381</v>
      </c>
      <c r="E1622" s="12" t="s">
        <v>3412</v>
      </c>
      <c r="F1622" s="16">
        <v>320000</v>
      </c>
    </row>
    <row r="1623" spans="1:6" x14ac:dyDescent="0.2">
      <c r="A1623" s="8" t="s">
        <v>1743</v>
      </c>
      <c r="B1623" s="9">
        <v>26112074376</v>
      </c>
      <c r="C1623" s="10">
        <f ca="1">TODAY()-4294</f>
        <v>39927</v>
      </c>
      <c r="D1623" s="10" t="s">
        <v>3401</v>
      </c>
      <c r="E1623" s="12" t="s">
        <v>3491</v>
      </c>
      <c r="F1623" s="16">
        <v>445000</v>
      </c>
    </row>
    <row r="1624" spans="1:6" x14ac:dyDescent="0.2">
      <c r="A1624" s="8" t="s">
        <v>500</v>
      </c>
      <c r="B1624" s="9">
        <v>16301249202</v>
      </c>
      <c r="C1624" s="10">
        <f ca="1">TODAY()-4935</f>
        <v>39286</v>
      </c>
      <c r="D1624" s="10" t="s">
        <v>2285</v>
      </c>
      <c r="E1624" s="12" t="s">
        <v>3493</v>
      </c>
      <c r="F1624" s="16">
        <v>310000</v>
      </c>
    </row>
    <row r="1625" spans="1:6" x14ac:dyDescent="0.2">
      <c r="A1625" s="8" t="s">
        <v>1526</v>
      </c>
      <c r="B1625" s="9">
        <v>27806082505</v>
      </c>
      <c r="C1625" s="10">
        <f ca="1">TODAY()-1472</f>
        <v>42749</v>
      </c>
      <c r="D1625" s="10" t="s">
        <v>3385</v>
      </c>
      <c r="E1625" s="12" t="s">
        <v>3471</v>
      </c>
      <c r="F1625" s="16">
        <v>470000</v>
      </c>
    </row>
    <row r="1626" spans="1:6" x14ac:dyDescent="0.2">
      <c r="A1626" s="8" t="s">
        <v>2203</v>
      </c>
      <c r="B1626" s="9">
        <v>28307095917</v>
      </c>
      <c r="C1626" s="10">
        <f ca="1">TODAY()-898</f>
        <v>43323</v>
      </c>
      <c r="D1626" s="10" t="s">
        <v>3387</v>
      </c>
      <c r="E1626" s="12" t="s">
        <v>3420</v>
      </c>
      <c r="F1626" s="16">
        <v>475000</v>
      </c>
    </row>
    <row r="1627" spans="1:6" x14ac:dyDescent="0.2">
      <c r="A1627" s="8" t="s">
        <v>1691</v>
      </c>
      <c r="B1627" s="9">
        <v>17107212785</v>
      </c>
      <c r="C1627" s="10">
        <f ca="1">TODAY()-1404</f>
        <v>42817</v>
      </c>
      <c r="D1627" s="10" t="s">
        <v>3398</v>
      </c>
      <c r="E1627" s="12" t="s">
        <v>3527</v>
      </c>
      <c r="F1627" s="16">
        <v>395000</v>
      </c>
    </row>
    <row r="1628" spans="1:6" x14ac:dyDescent="0.2">
      <c r="A1628" s="8" t="s">
        <v>448</v>
      </c>
      <c r="B1628" s="9">
        <v>18309087814</v>
      </c>
      <c r="C1628" s="10">
        <f ca="1">TODAY()-3592</f>
        <v>40629</v>
      </c>
      <c r="D1628" s="10" t="s">
        <v>2301</v>
      </c>
      <c r="E1628" s="12" t="s">
        <v>3423</v>
      </c>
      <c r="F1628" s="16">
        <v>230000</v>
      </c>
    </row>
    <row r="1629" spans="1:6" x14ac:dyDescent="0.2">
      <c r="A1629" s="8" t="s">
        <v>961</v>
      </c>
      <c r="B1629" s="9">
        <v>27908289673</v>
      </c>
      <c r="C1629" s="10">
        <f ca="1">TODAY()-3613</f>
        <v>40608</v>
      </c>
      <c r="D1629" s="10" t="s">
        <v>3399</v>
      </c>
      <c r="E1629" s="12" t="s">
        <v>3481</v>
      </c>
      <c r="F1629" s="16">
        <v>230000</v>
      </c>
    </row>
    <row r="1630" spans="1:6" x14ac:dyDescent="0.2">
      <c r="A1630" s="8" t="s">
        <v>525</v>
      </c>
      <c r="B1630" s="9">
        <v>18308246600</v>
      </c>
      <c r="C1630" s="10">
        <f ca="1">TODAY()-202</f>
        <v>44019</v>
      </c>
      <c r="D1630" s="10" t="s">
        <v>2290</v>
      </c>
      <c r="E1630" s="12" t="s">
        <v>3564</v>
      </c>
      <c r="F1630" s="16">
        <v>485000</v>
      </c>
    </row>
    <row r="1631" spans="1:6" x14ac:dyDescent="0.2">
      <c r="A1631" s="8" t="s">
        <v>516</v>
      </c>
      <c r="B1631" s="9">
        <v>16106145656</v>
      </c>
      <c r="C1631" s="10">
        <f ca="1">TODAY()-1814</f>
        <v>42407</v>
      </c>
      <c r="D1631" s="10" t="s">
        <v>3396</v>
      </c>
      <c r="E1631" s="12" t="s">
        <v>3487</v>
      </c>
      <c r="F1631" s="16">
        <v>450000</v>
      </c>
    </row>
    <row r="1632" spans="1:6" x14ac:dyDescent="0.2">
      <c r="A1632" s="8" t="s">
        <v>1542</v>
      </c>
      <c r="B1632" s="9">
        <v>27401216372</v>
      </c>
      <c r="C1632" s="10">
        <f ca="1">TODAY()-4511</f>
        <v>39710</v>
      </c>
      <c r="D1632" s="10" t="s">
        <v>2297</v>
      </c>
      <c r="E1632" s="12" t="s">
        <v>3440</v>
      </c>
      <c r="F1632" s="16">
        <v>185000</v>
      </c>
    </row>
    <row r="1633" spans="1:6" x14ac:dyDescent="0.2">
      <c r="A1633" s="8" t="s">
        <v>1558</v>
      </c>
      <c r="B1633" s="9">
        <v>26401053787</v>
      </c>
      <c r="C1633" s="10">
        <f ca="1">TODAY()-3128</f>
        <v>41093</v>
      </c>
      <c r="D1633" s="10" t="s">
        <v>3391</v>
      </c>
      <c r="E1633" s="12" t="s">
        <v>3446</v>
      </c>
      <c r="F1633" s="16">
        <v>400000</v>
      </c>
    </row>
    <row r="1634" spans="1:6" x14ac:dyDescent="0.2">
      <c r="A1634" s="8" t="s">
        <v>918</v>
      </c>
      <c r="B1634" s="9">
        <v>17903036293</v>
      </c>
      <c r="C1634" s="10">
        <f ca="1">TODAY()-2348</f>
        <v>41873</v>
      </c>
      <c r="D1634" s="10" t="s">
        <v>2284</v>
      </c>
      <c r="E1634" s="12" t="s">
        <v>3430</v>
      </c>
      <c r="F1634" s="16">
        <v>305000</v>
      </c>
    </row>
    <row r="1635" spans="1:6" x14ac:dyDescent="0.2">
      <c r="A1635" s="8" t="s">
        <v>821</v>
      </c>
      <c r="B1635" s="9">
        <v>18009083565</v>
      </c>
      <c r="C1635" s="10">
        <f ca="1">TODAY()-3175</f>
        <v>41046</v>
      </c>
      <c r="D1635" s="10" t="s">
        <v>2292</v>
      </c>
      <c r="E1635" s="12" t="s">
        <v>3413</v>
      </c>
      <c r="F1635" s="16">
        <v>200000</v>
      </c>
    </row>
    <row r="1636" spans="1:6" x14ac:dyDescent="0.2">
      <c r="A1636" s="8" t="s">
        <v>530</v>
      </c>
      <c r="B1636" s="9">
        <v>28204053310</v>
      </c>
      <c r="C1636" s="10">
        <f ca="1">TODAY()-456</f>
        <v>43765</v>
      </c>
      <c r="D1636" s="10" t="s">
        <v>2304</v>
      </c>
      <c r="E1636" s="12" t="s">
        <v>3468</v>
      </c>
      <c r="F1636" s="16">
        <v>225000</v>
      </c>
    </row>
    <row r="1637" spans="1:6" x14ac:dyDescent="0.2">
      <c r="A1637" s="8" t="s">
        <v>579</v>
      </c>
      <c r="B1637" s="9">
        <v>18701026590</v>
      </c>
      <c r="C1637" s="10">
        <f ca="1">TODAY()-1202</f>
        <v>43019</v>
      </c>
      <c r="D1637" s="10" t="s">
        <v>2303</v>
      </c>
      <c r="E1637" s="12" t="s">
        <v>3506</v>
      </c>
      <c r="F1637" s="16">
        <v>395000</v>
      </c>
    </row>
    <row r="1638" spans="1:6" x14ac:dyDescent="0.2">
      <c r="A1638" s="8" t="s">
        <v>1275</v>
      </c>
      <c r="B1638" s="9">
        <v>18904012737</v>
      </c>
      <c r="C1638" s="10">
        <f ca="1">TODAY()-2510</f>
        <v>41711</v>
      </c>
      <c r="D1638" s="10" t="s">
        <v>2296</v>
      </c>
      <c r="E1638" s="12" t="s">
        <v>3552</v>
      </c>
      <c r="F1638" s="16">
        <v>480000</v>
      </c>
    </row>
    <row r="1639" spans="1:6" x14ac:dyDescent="0.2">
      <c r="A1639" s="8" t="s">
        <v>1038</v>
      </c>
      <c r="B1639" s="9">
        <v>26205058415</v>
      </c>
      <c r="C1639" s="10">
        <f ca="1">TODAY()-216</f>
        <v>44005</v>
      </c>
      <c r="D1639" s="10" t="s">
        <v>3389</v>
      </c>
      <c r="E1639" s="12" t="s">
        <v>3527</v>
      </c>
      <c r="F1639" s="16">
        <v>480000</v>
      </c>
    </row>
    <row r="1640" spans="1:6" x14ac:dyDescent="0.2">
      <c r="A1640" s="8" t="s">
        <v>1628</v>
      </c>
      <c r="B1640" s="9">
        <v>18409077207</v>
      </c>
      <c r="C1640" s="10">
        <f ca="1">TODAY()-3710</f>
        <v>40511</v>
      </c>
      <c r="D1640" s="10" t="s">
        <v>3388</v>
      </c>
      <c r="E1640" s="12" t="s">
        <v>3487</v>
      </c>
      <c r="F1640" s="16">
        <v>460000</v>
      </c>
    </row>
    <row r="1641" spans="1:6" x14ac:dyDescent="0.2">
      <c r="A1641" s="8" t="s">
        <v>2043</v>
      </c>
      <c r="B1641" s="9">
        <v>27207222698</v>
      </c>
      <c r="C1641" s="10">
        <f ca="1">TODAY()-1058</f>
        <v>43163</v>
      </c>
      <c r="D1641" s="10" t="s">
        <v>3396</v>
      </c>
      <c r="E1641" s="12" t="s">
        <v>3461</v>
      </c>
      <c r="F1641" s="16">
        <v>440000</v>
      </c>
    </row>
    <row r="1642" spans="1:6" x14ac:dyDescent="0.2">
      <c r="A1642" s="8" t="s">
        <v>2171</v>
      </c>
      <c r="B1642" s="9">
        <v>18907172072</v>
      </c>
      <c r="C1642" s="10">
        <f ca="1">TODAY()-4691</f>
        <v>39530</v>
      </c>
      <c r="D1642" s="10" t="s">
        <v>2301</v>
      </c>
      <c r="E1642" s="12" t="s">
        <v>3508</v>
      </c>
      <c r="F1642" s="16">
        <v>215000</v>
      </c>
    </row>
    <row r="1643" spans="1:6" x14ac:dyDescent="0.2">
      <c r="A1643" s="8" t="s">
        <v>1650</v>
      </c>
      <c r="B1643" s="9">
        <v>27801226397</v>
      </c>
      <c r="C1643" s="10">
        <f ca="1">TODAY()-2387</f>
        <v>41834</v>
      </c>
      <c r="D1643" s="10" t="s">
        <v>3388</v>
      </c>
      <c r="E1643" s="12" t="s">
        <v>3549</v>
      </c>
      <c r="F1643" s="16">
        <v>200000</v>
      </c>
    </row>
    <row r="1644" spans="1:6" x14ac:dyDescent="0.2">
      <c r="A1644" s="8" t="s">
        <v>2021</v>
      </c>
      <c r="B1644" s="9">
        <v>28311197404</v>
      </c>
      <c r="C1644" s="10">
        <f ca="1">TODAY()-4815</f>
        <v>39406</v>
      </c>
      <c r="D1644" s="10" t="s">
        <v>3378</v>
      </c>
      <c r="E1644" s="12" t="s">
        <v>3426</v>
      </c>
      <c r="F1644" s="16">
        <v>275000</v>
      </c>
    </row>
    <row r="1645" spans="1:6" x14ac:dyDescent="0.2">
      <c r="A1645" s="8" t="s">
        <v>1722</v>
      </c>
      <c r="B1645" s="9">
        <v>17210212847</v>
      </c>
      <c r="C1645" s="10">
        <f ca="1">TODAY()-1408</f>
        <v>42813</v>
      </c>
      <c r="D1645" s="10" t="s">
        <v>2297</v>
      </c>
      <c r="E1645" s="12" t="s">
        <v>3533</v>
      </c>
      <c r="F1645" s="16">
        <v>465000</v>
      </c>
    </row>
    <row r="1646" spans="1:6" x14ac:dyDescent="0.2">
      <c r="A1646" s="8" t="s">
        <v>1887</v>
      </c>
      <c r="B1646" s="9">
        <v>26209172057</v>
      </c>
      <c r="C1646" s="10">
        <f ca="1">TODAY()-12</f>
        <v>44209</v>
      </c>
      <c r="D1646" s="10" t="s">
        <v>3383</v>
      </c>
      <c r="E1646" s="12" t="s">
        <v>3454</v>
      </c>
      <c r="F1646" s="16">
        <v>310000</v>
      </c>
    </row>
    <row r="1647" spans="1:6" x14ac:dyDescent="0.2">
      <c r="A1647" s="8" t="s">
        <v>2065</v>
      </c>
      <c r="B1647" s="9">
        <v>17204027806</v>
      </c>
      <c r="C1647" s="10">
        <f ca="1">TODAY()-965</f>
        <v>43256</v>
      </c>
      <c r="D1647" s="10" t="s">
        <v>3378</v>
      </c>
      <c r="E1647" s="12" t="s">
        <v>3558</v>
      </c>
      <c r="F1647" s="16">
        <v>480000</v>
      </c>
    </row>
    <row r="1648" spans="1:6" x14ac:dyDescent="0.2">
      <c r="A1648" s="8" t="s">
        <v>780</v>
      </c>
      <c r="B1648" s="9">
        <v>18503143707</v>
      </c>
      <c r="C1648" s="10">
        <f ca="1">TODAY()-1414</f>
        <v>42807</v>
      </c>
      <c r="D1648" s="10" t="s">
        <v>2303</v>
      </c>
      <c r="E1648" s="12" t="s">
        <v>3411</v>
      </c>
      <c r="F1648" s="16">
        <v>315000</v>
      </c>
    </row>
    <row r="1649" spans="1:6" x14ac:dyDescent="0.2">
      <c r="A1649" s="8" t="s">
        <v>1601</v>
      </c>
      <c r="B1649" s="9">
        <v>27209209836</v>
      </c>
      <c r="C1649" s="10">
        <f ca="1">TODAY()-1178</f>
        <v>43043</v>
      </c>
      <c r="D1649" s="10" t="s">
        <v>3393</v>
      </c>
      <c r="E1649" s="12" t="s">
        <v>3441</v>
      </c>
      <c r="F1649" s="16">
        <v>465000</v>
      </c>
    </row>
    <row r="1650" spans="1:6" x14ac:dyDescent="0.2">
      <c r="A1650" s="8" t="s">
        <v>2068</v>
      </c>
      <c r="B1650" s="9">
        <v>28709028244</v>
      </c>
      <c r="C1650" s="10">
        <f ca="1">TODAY()-4040</f>
        <v>40181</v>
      </c>
      <c r="D1650" s="10" t="s">
        <v>2297</v>
      </c>
      <c r="E1650" s="12" t="s">
        <v>3533</v>
      </c>
      <c r="F1650" s="16">
        <v>190000</v>
      </c>
    </row>
    <row r="1651" spans="1:6" x14ac:dyDescent="0.2">
      <c r="A1651" s="8" t="s">
        <v>2268</v>
      </c>
      <c r="B1651" s="9">
        <v>28107011376</v>
      </c>
      <c r="C1651" s="10">
        <f ca="1">TODAY()-1124</f>
        <v>43097</v>
      </c>
      <c r="D1651" s="10" t="s">
        <v>2297</v>
      </c>
      <c r="E1651" s="12" t="s">
        <v>3441</v>
      </c>
      <c r="F1651" s="16">
        <v>325000</v>
      </c>
    </row>
    <row r="1652" spans="1:6" x14ac:dyDescent="0.2">
      <c r="A1652" s="8" t="s">
        <v>1994</v>
      </c>
      <c r="B1652" s="9">
        <v>16503276111</v>
      </c>
      <c r="C1652" s="10">
        <f ca="1">TODAY()-3893</f>
        <v>40328</v>
      </c>
      <c r="D1652" s="10" t="s">
        <v>3381</v>
      </c>
      <c r="E1652" s="12" t="s">
        <v>3381</v>
      </c>
      <c r="F1652" s="16">
        <v>280000</v>
      </c>
    </row>
    <row r="1653" spans="1:6" x14ac:dyDescent="0.2">
      <c r="A1653" s="8" t="s">
        <v>633</v>
      </c>
      <c r="B1653" s="9">
        <v>27111241966</v>
      </c>
      <c r="C1653" s="10">
        <f ca="1">TODAY()-4753</f>
        <v>39468</v>
      </c>
      <c r="D1653" s="10" t="s">
        <v>2297</v>
      </c>
      <c r="E1653" s="12" t="s">
        <v>3465</v>
      </c>
      <c r="F1653" s="16">
        <v>485000</v>
      </c>
    </row>
    <row r="1654" spans="1:6" x14ac:dyDescent="0.2">
      <c r="A1654" s="8" t="s">
        <v>782</v>
      </c>
      <c r="B1654" s="9">
        <v>18804089064</v>
      </c>
      <c r="C1654" s="10">
        <f ca="1">TODAY()-1419</f>
        <v>42802</v>
      </c>
      <c r="D1654" s="10" t="s">
        <v>2288</v>
      </c>
      <c r="E1654" s="12" t="s">
        <v>3523</v>
      </c>
      <c r="F1654" s="16">
        <v>235000</v>
      </c>
    </row>
    <row r="1655" spans="1:6" x14ac:dyDescent="0.2">
      <c r="A1655" s="8" t="s">
        <v>1087</v>
      </c>
      <c r="B1655" s="9">
        <v>26912216237</v>
      </c>
      <c r="C1655" s="10">
        <f ca="1">TODAY()-1228</f>
        <v>42993</v>
      </c>
      <c r="D1655" s="10" t="s">
        <v>3393</v>
      </c>
      <c r="E1655" s="12" t="s">
        <v>3509</v>
      </c>
      <c r="F1655" s="16">
        <v>490000</v>
      </c>
    </row>
    <row r="1656" spans="1:6" x14ac:dyDescent="0.2">
      <c r="A1656" s="8" t="s">
        <v>1474</v>
      </c>
      <c r="B1656" s="9">
        <v>18609108589</v>
      </c>
      <c r="C1656" s="10">
        <f ca="1">TODAY()-3190</f>
        <v>41031</v>
      </c>
      <c r="D1656" s="10" t="s">
        <v>3382</v>
      </c>
      <c r="E1656" s="12" t="s">
        <v>3480</v>
      </c>
      <c r="F1656" s="16">
        <v>320000</v>
      </c>
    </row>
    <row r="1657" spans="1:6" x14ac:dyDescent="0.2">
      <c r="A1657" s="8" t="s">
        <v>2005</v>
      </c>
      <c r="B1657" s="9">
        <v>17005132956</v>
      </c>
      <c r="C1657" s="10">
        <f ca="1">TODAY()-165</f>
        <v>44056</v>
      </c>
      <c r="D1657" s="10" t="s">
        <v>3402</v>
      </c>
      <c r="E1657" s="12" t="s">
        <v>3487</v>
      </c>
      <c r="F1657" s="16">
        <v>190000</v>
      </c>
    </row>
    <row r="1658" spans="1:6" x14ac:dyDescent="0.2">
      <c r="A1658" s="8" t="s">
        <v>1109</v>
      </c>
      <c r="B1658" s="9">
        <v>18102214813</v>
      </c>
      <c r="C1658" s="10">
        <f ca="1">TODAY()-3735</f>
        <v>40486</v>
      </c>
      <c r="D1658" s="10" t="s">
        <v>2293</v>
      </c>
      <c r="E1658" s="12" t="s">
        <v>3479</v>
      </c>
      <c r="F1658" s="16">
        <v>330000</v>
      </c>
    </row>
    <row r="1659" spans="1:6" x14ac:dyDescent="0.2">
      <c r="A1659" s="8" t="s">
        <v>877</v>
      </c>
      <c r="B1659" s="9">
        <v>28603107011</v>
      </c>
      <c r="C1659" s="10">
        <f ca="1">TODAY()-3077</f>
        <v>41144</v>
      </c>
      <c r="D1659" s="10" t="s">
        <v>2289</v>
      </c>
      <c r="E1659" s="12" t="s">
        <v>3413</v>
      </c>
      <c r="F1659" s="16">
        <v>490000</v>
      </c>
    </row>
    <row r="1660" spans="1:6" x14ac:dyDescent="0.2">
      <c r="A1660" s="8" t="s">
        <v>2274</v>
      </c>
      <c r="B1660" s="9">
        <v>17310095010</v>
      </c>
      <c r="C1660" s="10">
        <f ca="1">TODAY()-2819</f>
        <v>41402</v>
      </c>
      <c r="D1660" s="10" t="s">
        <v>3390</v>
      </c>
      <c r="E1660" s="12" t="s">
        <v>3421</v>
      </c>
      <c r="F1660" s="16">
        <v>495000</v>
      </c>
    </row>
    <row r="1661" spans="1:6" x14ac:dyDescent="0.2">
      <c r="A1661" s="8" t="s">
        <v>418</v>
      </c>
      <c r="B1661" s="9">
        <v>17401259734</v>
      </c>
      <c r="C1661" s="10">
        <f ca="1">TODAY()-4051</f>
        <v>40170</v>
      </c>
      <c r="D1661" s="10" t="s">
        <v>3386</v>
      </c>
      <c r="E1661" s="12" t="s">
        <v>3533</v>
      </c>
      <c r="F1661" s="16">
        <v>315000</v>
      </c>
    </row>
    <row r="1662" spans="1:6" x14ac:dyDescent="0.2">
      <c r="A1662" s="8" t="s">
        <v>2053</v>
      </c>
      <c r="B1662" s="9">
        <v>18412217506</v>
      </c>
      <c r="C1662" s="10">
        <f ca="1">TODAY()-3313</f>
        <v>40908</v>
      </c>
      <c r="D1662" s="10" t="s">
        <v>2293</v>
      </c>
      <c r="E1662" s="12" t="s">
        <v>3510</v>
      </c>
      <c r="F1662" s="16">
        <v>320000</v>
      </c>
    </row>
    <row r="1663" spans="1:6" x14ac:dyDescent="0.2">
      <c r="A1663" s="8" t="s">
        <v>1383</v>
      </c>
      <c r="B1663" s="9">
        <v>18510031450</v>
      </c>
      <c r="C1663" s="10">
        <f ca="1">TODAY()-40</f>
        <v>44181</v>
      </c>
      <c r="D1663" s="10" t="s">
        <v>3400</v>
      </c>
      <c r="E1663" s="12" t="s">
        <v>3496</v>
      </c>
      <c r="F1663" s="16">
        <v>310000</v>
      </c>
    </row>
    <row r="1664" spans="1:6" x14ac:dyDescent="0.2">
      <c r="A1664" s="8" t="s">
        <v>1019</v>
      </c>
      <c r="B1664" s="9">
        <v>17401171607</v>
      </c>
      <c r="C1664" s="10">
        <f ca="1">TODAY()-1555</f>
        <v>42666</v>
      </c>
      <c r="D1664" s="10" t="s">
        <v>2285</v>
      </c>
      <c r="E1664" s="12" t="s">
        <v>3526</v>
      </c>
      <c r="F1664" s="16">
        <v>325000</v>
      </c>
    </row>
    <row r="1665" spans="1:6" x14ac:dyDescent="0.2">
      <c r="A1665" s="8" t="s">
        <v>1317</v>
      </c>
      <c r="B1665" s="9">
        <v>27701185928</v>
      </c>
      <c r="C1665" s="10">
        <f ca="1">TODAY()-4285</f>
        <v>39936</v>
      </c>
      <c r="D1665" s="10" t="s">
        <v>2300</v>
      </c>
      <c r="E1665" s="12" t="s">
        <v>3529</v>
      </c>
      <c r="F1665" s="16">
        <v>265000</v>
      </c>
    </row>
    <row r="1666" spans="1:6" x14ac:dyDescent="0.2">
      <c r="A1666" s="8" t="s">
        <v>643</v>
      </c>
      <c r="B1666" s="9">
        <v>28904069359</v>
      </c>
      <c r="C1666" s="10">
        <f ca="1">TODAY()-3355</f>
        <v>40866</v>
      </c>
      <c r="D1666" s="10" t="s">
        <v>3387</v>
      </c>
      <c r="E1666" s="12" t="s">
        <v>3418</v>
      </c>
      <c r="F1666" s="16">
        <v>415000</v>
      </c>
    </row>
    <row r="1667" spans="1:6" x14ac:dyDescent="0.2">
      <c r="A1667" s="8" t="s">
        <v>1693</v>
      </c>
      <c r="B1667" s="9">
        <v>16012104356</v>
      </c>
      <c r="C1667" s="10">
        <f ca="1">TODAY()-39</f>
        <v>44182</v>
      </c>
      <c r="D1667" s="10" t="s">
        <v>3396</v>
      </c>
      <c r="E1667" s="12" t="s">
        <v>3442</v>
      </c>
      <c r="F1667" s="16">
        <v>360000</v>
      </c>
    </row>
    <row r="1668" spans="1:6" x14ac:dyDescent="0.2">
      <c r="A1668" s="8" t="s">
        <v>1265</v>
      </c>
      <c r="B1668" s="9">
        <v>28004034673</v>
      </c>
      <c r="C1668" s="10">
        <f ca="1">TODAY()-1985</f>
        <v>42236</v>
      </c>
      <c r="D1668" s="10" t="s">
        <v>2299</v>
      </c>
      <c r="E1668" s="12" t="s">
        <v>3486</v>
      </c>
      <c r="F1668" s="16">
        <v>270000</v>
      </c>
    </row>
    <row r="1669" spans="1:6" x14ac:dyDescent="0.2">
      <c r="A1669" s="8" t="s">
        <v>1190</v>
      </c>
      <c r="B1669" s="9">
        <v>18012154796</v>
      </c>
      <c r="C1669" s="10">
        <f ca="1">TODAY()-2663</f>
        <v>41558</v>
      </c>
      <c r="D1669" s="10" t="s">
        <v>3388</v>
      </c>
      <c r="E1669" s="12" t="s">
        <v>3545</v>
      </c>
      <c r="F1669" s="16">
        <v>330000</v>
      </c>
    </row>
    <row r="1670" spans="1:6" x14ac:dyDescent="0.2">
      <c r="A1670" s="8" t="s">
        <v>1029</v>
      </c>
      <c r="B1670" s="9">
        <v>28805142734</v>
      </c>
      <c r="C1670" s="10">
        <f ca="1">TODAY()-2560</f>
        <v>41661</v>
      </c>
      <c r="D1670" s="10" t="s">
        <v>2290</v>
      </c>
      <c r="E1670" s="12" t="s">
        <v>3493</v>
      </c>
      <c r="F1670" s="16">
        <v>410000</v>
      </c>
    </row>
    <row r="1671" spans="1:6" x14ac:dyDescent="0.2">
      <c r="A1671" s="8" t="s">
        <v>2006</v>
      </c>
      <c r="B1671" s="9">
        <v>18911098265</v>
      </c>
      <c r="C1671" s="10">
        <f ca="1">TODAY()-2273</f>
        <v>41948</v>
      </c>
      <c r="D1671" s="10" t="s">
        <v>2285</v>
      </c>
      <c r="E1671" s="12" t="s">
        <v>3493</v>
      </c>
      <c r="F1671" s="16">
        <v>235000</v>
      </c>
    </row>
    <row r="1672" spans="1:6" x14ac:dyDescent="0.2">
      <c r="A1672" s="8" t="s">
        <v>1933</v>
      </c>
      <c r="B1672" s="9">
        <v>17912285551</v>
      </c>
      <c r="C1672" s="10">
        <f ca="1">TODAY()-1223</f>
        <v>42998</v>
      </c>
      <c r="D1672" s="10" t="s">
        <v>3398</v>
      </c>
      <c r="E1672" s="12" t="s">
        <v>3467</v>
      </c>
      <c r="F1672" s="16">
        <v>390000</v>
      </c>
    </row>
    <row r="1673" spans="1:6" x14ac:dyDescent="0.2">
      <c r="A1673" s="8" t="s">
        <v>1674</v>
      </c>
      <c r="B1673" s="9">
        <v>17705094740</v>
      </c>
      <c r="C1673" s="10">
        <f ca="1">TODAY()-2493</f>
        <v>41728</v>
      </c>
      <c r="D1673" s="10" t="s">
        <v>2297</v>
      </c>
      <c r="E1673" s="12" t="s">
        <v>3466</v>
      </c>
      <c r="F1673" s="16">
        <v>365000</v>
      </c>
    </row>
    <row r="1674" spans="1:6" x14ac:dyDescent="0.2">
      <c r="A1674" s="8" t="s">
        <v>608</v>
      </c>
      <c r="B1674" s="9">
        <v>28012035842</v>
      </c>
      <c r="C1674" s="10">
        <f ca="1">TODAY()-4863</f>
        <v>39358</v>
      </c>
      <c r="D1674" s="10" t="s">
        <v>2288</v>
      </c>
      <c r="E1674" s="12" t="s">
        <v>3427</v>
      </c>
      <c r="F1674" s="16">
        <v>400000</v>
      </c>
    </row>
    <row r="1675" spans="1:6" x14ac:dyDescent="0.2">
      <c r="A1675" s="8" t="s">
        <v>1289</v>
      </c>
      <c r="B1675" s="9">
        <v>26012284472</v>
      </c>
      <c r="C1675" s="10">
        <f ca="1">TODAY()-1181</f>
        <v>43040</v>
      </c>
      <c r="D1675" s="10" t="s">
        <v>3396</v>
      </c>
      <c r="E1675" s="12" t="s">
        <v>3431</v>
      </c>
      <c r="F1675" s="16">
        <v>230000</v>
      </c>
    </row>
    <row r="1676" spans="1:6" x14ac:dyDescent="0.2">
      <c r="A1676" s="8" t="s">
        <v>1741</v>
      </c>
      <c r="B1676" s="9">
        <v>27203019514</v>
      </c>
      <c r="C1676" s="10">
        <f ca="1">TODAY()-4559</f>
        <v>39662</v>
      </c>
      <c r="D1676" s="10" t="s">
        <v>3399</v>
      </c>
      <c r="E1676" s="12" t="s">
        <v>3545</v>
      </c>
      <c r="F1676" s="16">
        <v>205000</v>
      </c>
    </row>
    <row r="1677" spans="1:6" x14ac:dyDescent="0.2">
      <c r="A1677" s="8" t="s">
        <v>984</v>
      </c>
      <c r="B1677" s="9">
        <v>16810019918</v>
      </c>
      <c r="C1677" s="10">
        <f ca="1">TODAY()-1999</f>
        <v>42222</v>
      </c>
      <c r="D1677" s="10" t="s">
        <v>2294</v>
      </c>
      <c r="E1677" s="12" t="s">
        <v>3418</v>
      </c>
      <c r="F1677" s="16">
        <v>410000</v>
      </c>
    </row>
    <row r="1678" spans="1:6" x14ac:dyDescent="0.2">
      <c r="A1678" s="8" t="s">
        <v>578</v>
      </c>
      <c r="B1678" s="9">
        <v>28002272782</v>
      </c>
      <c r="C1678" s="10">
        <f ca="1">TODAY()-3947</f>
        <v>40274</v>
      </c>
      <c r="D1678" s="10" t="s">
        <v>3380</v>
      </c>
      <c r="E1678" s="12" t="s">
        <v>3469</v>
      </c>
      <c r="F1678" s="16">
        <v>190000</v>
      </c>
    </row>
    <row r="1679" spans="1:6" x14ac:dyDescent="0.2">
      <c r="A1679" s="8" t="s">
        <v>1268</v>
      </c>
      <c r="B1679" s="9">
        <v>27209103698</v>
      </c>
      <c r="C1679" s="10">
        <f ca="1">TODAY()-1630</f>
        <v>42591</v>
      </c>
      <c r="D1679" s="10" t="s">
        <v>2301</v>
      </c>
      <c r="E1679" s="12" t="s">
        <v>2301</v>
      </c>
      <c r="F1679" s="16">
        <v>265000</v>
      </c>
    </row>
    <row r="1680" spans="1:6" x14ac:dyDescent="0.2">
      <c r="A1680" s="8" t="s">
        <v>917</v>
      </c>
      <c r="B1680" s="9">
        <v>16401152532</v>
      </c>
      <c r="C1680" s="10">
        <f ca="1">TODAY()-398</f>
        <v>43823</v>
      </c>
      <c r="D1680" s="10" t="s">
        <v>2299</v>
      </c>
      <c r="E1680" s="12" t="s">
        <v>3490</v>
      </c>
      <c r="F1680" s="16">
        <v>295000</v>
      </c>
    </row>
    <row r="1681" spans="1:6" x14ac:dyDescent="0.2">
      <c r="A1681" s="8" t="s">
        <v>1342</v>
      </c>
      <c r="B1681" s="9">
        <v>17802154298</v>
      </c>
      <c r="C1681" s="10">
        <f ca="1">TODAY()-1752</f>
        <v>42469</v>
      </c>
      <c r="D1681" s="10" t="s">
        <v>3378</v>
      </c>
      <c r="E1681" s="12" t="s">
        <v>3534</v>
      </c>
      <c r="F1681" s="16">
        <v>330000</v>
      </c>
    </row>
    <row r="1682" spans="1:6" x14ac:dyDescent="0.2">
      <c r="A1682" s="8" t="s">
        <v>1905</v>
      </c>
      <c r="B1682" s="9">
        <v>26708158670</v>
      </c>
      <c r="C1682" s="10">
        <f ca="1">TODAY()-2367</f>
        <v>41854</v>
      </c>
      <c r="D1682" s="10" t="s">
        <v>3390</v>
      </c>
      <c r="E1682" s="12" t="s">
        <v>3436</v>
      </c>
      <c r="F1682" s="16">
        <v>420000</v>
      </c>
    </row>
    <row r="1683" spans="1:6" x14ac:dyDescent="0.2">
      <c r="A1683" s="8" t="s">
        <v>451</v>
      </c>
      <c r="B1683" s="9">
        <v>18311142028</v>
      </c>
      <c r="C1683" s="10">
        <f ca="1">TODAY()-4115</f>
        <v>40106</v>
      </c>
      <c r="D1683" s="10" t="s">
        <v>3389</v>
      </c>
      <c r="E1683" s="12" t="s">
        <v>3489</v>
      </c>
      <c r="F1683" s="16">
        <v>370000</v>
      </c>
    </row>
    <row r="1684" spans="1:6" x14ac:dyDescent="0.2">
      <c r="A1684" s="8" t="s">
        <v>560</v>
      </c>
      <c r="B1684" s="9">
        <v>28004241519</v>
      </c>
      <c r="C1684" s="10">
        <f ca="1">TODAY()-1243</f>
        <v>42978</v>
      </c>
      <c r="D1684" s="10" t="s">
        <v>3378</v>
      </c>
      <c r="E1684" s="12" t="s">
        <v>3465</v>
      </c>
      <c r="F1684" s="16">
        <v>405000</v>
      </c>
    </row>
    <row r="1685" spans="1:6" x14ac:dyDescent="0.2">
      <c r="A1685" s="8" t="s">
        <v>2090</v>
      </c>
      <c r="B1685" s="9">
        <v>28111212113</v>
      </c>
      <c r="C1685" s="10">
        <f ca="1">TODAY()-658</f>
        <v>43563</v>
      </c>
      <c r="D1685" s="10" t="s">
        <v>2301</v>
      </c>
      <c r="E1685" s="12" t="s">
        <v>3529</v>
      </c>
      <c r="F1685" s="16">
        <v>440000</v>
      </c>
    </row>
    <row r="1686" spans="1:6" x14ac:dyDescent="0.2">
      <c r="A1686" s="8" t="s">
        <v>2210</v>
      </c>
      <c r="B1686" s="9">
        <v>16701084697</v>
      </c>
      <c r="C1686" s="10">
        <f ca="1">TODAY()-2102</f>
        <v>42119</v>
      </c>
      <c r="D1686" s="10" t="s">
        <v>2286</v>
      </c>
      <c r="E1686" s="12" t="s">
        <v>3563</v>
      </c>
      <c r="F1686" s="16">
        <v>355000</v>
      </c>
    </row>
    <row r="1687" spans="1:6" x14ac:dyDescent="0.2">
      <c r="A1687" s="8" t="s">
        <v>1561</v>
      </c>
      <c r="B1687" s="9">
        <v>17904258449</v>
      </c>
      <c r="C1687" s="10">
        <f ca="1">TODAY()-2670</f>
        <v>41551</v>
      </c>
      <c r="D1687" s="10" t="s">
        <v>3380</v>
      </c>
      <c r="E1687" s="12" t="s">
        <v>3541</v>
      </c>
      <c r="F1687" s="16">
        <v>470000</v>
      </c>
    </row>
    <row r="1688" spans="1:6" x14ac:dyDescent="0.2">
      <c r="A1688" s="8" t="s">
        <v>822</v>
      </c>
      <c r="B1688" s="9">
        <v>18206243157</v>
      </c>
      <c r="C1688" s="10">
        <f ca="1">TODAY()-4546</f>
        <v>39675</v>
      </c>
      <c r="D1688" s="10" t="s">
        <v>2301</v>
      </c>
      <c r="E1688" s="12" t="s">
        <v>3470</v>
      </c>
      <c r="F1688" s="16">
        <v>310000</v>
      </c>
    </row>
    <row r="1689" spans="1:6" x14ac:dyDescent="0.2">
      <c r="A1689" s="8" t="s">
        <v>1729</v>
      </c>
      <c r="B1689" s="9">
        <v>26701043274</v>
      </c>
      <c r="C1689" s="10">
        <f ca="1">TODAY()-2096</f>
        <v>42125</v>
      </c>
      <c r="D1689" s="10" t="s">
        <v>2286</v>
      </c>
      <c r="E1689" s="12" t="s">
        <v>3426</v>
      </c>
      <c r="F1689" s="16">
        <v>370000</v>
      </c>
    </row>
    <row r="1690" spans="1:6" x14ac:dyDescent="0.2">
      <c r="A1690" s="8" t="s">
        <v>826</v>
      </c>
      <c r="B1690" s="9">
        <v>27607083792</v>
      </c>
      <c r="C1690" s="10">
        <f ca="1">TODAY()-2198</f>
        <v>42023</v>
      </c>
      <c r="D1690" s="10" t="s">
        <v>3383</v>
      </c>
      <c r="E1690" s="12" t="s">
        <v>3499</v>
      </c>
      <c r="F1690" s="16">
        <v>420000</v>
      </c>
    </row>
    <row r="1691" spans="1:6" x14ac:dyDescent="0.2">
      <c r="A1691" s="8" t="s">
        <v>1513</v>
      </c>
      <c r="B1691" s="9">
        <v>18911252634</v>
      </c>
      <c r="C1691" s="10">
        <f ca="1">TODAY()-2216</f>
        <v>42005</v>
      </c>
      <c r="D1691" s="10" t="s">
        <v>3402</v>
      </c>
      <c r="E1691" s="12" t="s">
        <v>3499</v>
      </c>
      <c r="F1691" s="16">
        <v>225000</v>
      </c>
    </row>
    <row r="1692" spans="1:6" x14ac:dyDescent="0.2">
      <c r="A1692" s="8" t="s">
        <v>453</v>
      </c>
      <c r="B1692" s="9">
        <v>26102255876</v>
      </c>
      <c r="C1692" s="10">
        <f ca="1">TODAY()-1166</f>
        <v>43055</v>
      </c>
      <c r="D1692" s="10" t="s">
        <v>3392</v>
      </c>
      <c r="E1692" s="12" t="s">
        <v>3507</v>
      </c>
      <c r="F1692" s="16">
        <v>225000</v>
      </c>
    </row>
    <row r="1693" spans="1:6" x14ac:dyDescent="0.2">
      <c r="A1693" s="8" t="s">
        <v>2125</v>
      </c>
      <c r="B1693" s="9">
        <v>26209284176</v>
      </c>
      <c r="C1693" s="10">
        <f ca="1">TODAY()-3172</f>
        <v>41049</v>
      </c>
      <c r="D1693" s="10" t="s">
        <v>3391</v>
      </c>
      <c r="E1693" s="12" t="s">
        <v>3490</v>
      </c>
      <c r="F1693" s="16">
        <v>435000</v>
      </c>
    </row>
    <row r="1694" spans="1:6" x14ac:dyDescent="0.2">
      <c r="A1694" s="8" t="s">
        <v>1752</v>
      </c>
      <c r="B1694" s="9">
        <v>18906197786</v>
      </c>
      <c r="C1694" s="10">
        <f ca="1">TODAY()-2565</f>
        <v>41656</v>
      </c>
      <c r="D1694" s="10" t="s">
        <v>3384</v>
      </c>
      <c r="E1694" s="12" t="s">
        <v>3537</v>
      </c>
      <c r="F1694" s="16">
        <v>335000</v>
      </c>
    </row>
    <row r="1695" spans="1:6" x14ac:dyDescent="0.2">
      <c r="A1695" s="8" t="s">
        <v>2120</v>
      </c>
      <c r="B1695" s="9">
        <v>19001117675</v>
      </c>
      <c r="C1695" s="10">
        <f ca="1">TODAY()-2986</f>
        <v>41235</v>
      </c>
      <c r="D1695" s="10" t="s">
        <v>3399</v>
      </c>
      <c r="E1695" s="12" t="s">
        <v>3460</v>
      </c>
      <c r="F1695" s="16">
        <v>475000</v>
      </c>
    </row>
    <row r="1696" spans="1:6" x14ac:dyDescent="0.2">
      <c r="A1696" s="8" t="s">
        <v>1120</v>
      </c>
      <c r="B1696" s="9">
        <v>27309236692</v>
      </c>
      <c r="C1696" s="10">
        <f ca="1">TODAY()-326</f>
        <v>43895</v>
      </c>
      <c r="D1696" s="10" t="s">
        <v>3392</v>
      </c>
      <c r="E1696" s="12" t="s">
        <v>3423</v>
      </c>
      <c r="F1696" s="16">
        <v>450000</v>
      </c>
    </row>
    <row r="1697" spans="1:6" x14ac:dyDescent="0.2">
      <c r="A1697" s="8" t="s">
        <v>1810</v>
      </c>
      <c r="B1697" s="9">
        <v>18512193849</v>
      </c>
      <c r="C1697" s="10">
        <f ca="1">TODAY()-4784</f>
        <v>39437</v>
      </c>
      <c r="D1697" s="10" t="s">
        <v>2304</v>
      </c>
      <c r="E1697" s="12" t="s">
        <v>3559</v>
      </c>
      <c r="F1697" s="16">
        <v>470000</v>
      </c>
    </row>
    <row r="1698" spans="1:6" x14ac:dyDescent="0.2">
      <c r="A1698" s="8" t="s">
        <v>724</v>
      </c>
      <c r="B1698" s="9">
        <v>18209025269</v>
      </c>
      <c r="C1698" s="10">
        <f ca="1">TODAY()-2609</f>
        <v>41612</v>
      </c>
      <c r="D1698" s="10" t="s">
        <v>3383</v>
      </c>
      <c r="E1698" s="12" t="s">
        <v>3518</v>
      </c>
      <c r="F1698" s="16">
        <v>225000</v>
      </c>
    </row>
    <row r="1699" spans="1:6" x14ac:dyDescent="0.2">
      <c r="A1699" s="8" t="s">
        <v>1225</v>
      </c>
      <c r="B1699" s="9">
        <v>18804202047</v>
      </c>
      <c r="C1699" s="10">
        <f ca="1">TODAY()-33</f>
        <v>44188</v>
      </c>
      <c r="D1699" s="10" t="s">
        <v>2298</v>
      </c>
      <c r="E1699" s="12" t="s">
        <v>3452</v>
      </c>
      <c r="F1699" s="16">
        <v>345000</v>
      </c>
    </row>
    <row r="1700" spans="1:6" x14ac:dyDescent="0.2">
      <c r="A1700" s="8" t="s">
        <v>946</v>
      </c>
      <c r="B1700" s="9">
        <v>28803288423</v>
      </c>
      <c r="C1700" s="10">
        <f ca="1">TODAY()-4975</f>
        <v>39246</v>
      </c>
      <c r="D1700" s="10" t="s">
        <v>3397</v>
      </c>
      <c r="E1700" s="12" t="s">
        <v>3489</v>
      </c>
      <c r="F1700" s="16">
        <v>485000</v>
      </c>
    </row>
    <row r="1701" spans="1:6" x14ac:dyDescent="0.2">
      <c r="A1701" s="8" t="s">
        <v>2257</v>
      </c>
      <c r="B1701" s="9">
        <v>18205165590</v>
      </c>
      <c r="C1701" s="10">
        <f ca="1">TODAY()-2124</f>
        <v>42097</v>
      </c>
      <c r="D1701" s="10" t="s">
        <v>2299</v>
      </c>
      <c r="E1701" s="12" t="s">
        <v>3459</v>
      </c>
      <c r="F1701" s="16">
        <v>450000</v>
      </c>
    </row>
    <row r="1702" spans="1:6" x14ac:dyDescent="0.2">
      <c r="A1702" s="8" t="s">
        <v>2080</v>
      </c>
      <c r="B1702" s="9">
        <v>26604079328</v>
      </c>
      <c r="C1702" s="10">
        <f ca="1">TODAY()-3282</f>
        <v>40939</v>
      </c>
      <c r="D1702" s="10" t="s">
        <v>2291</v>
      </c>
      <c r="E1702" s="12" t="s">
        <v>2291</v>
      </c>
      <c r="F1702" s="16">
        <v>430000</v>
      </c>
    </row>
    <row r="1703" spans="1:6" x14ac:dyDescent="0.2">
      <c r="A1703" s="8" t="s">
        <v>1442</v>
      </c>
      <c r="B1703" s="9">
        <v>27305163089</v>
      </c>
      <c r="C1703" s="10">
        <f ca="1">TODAY()-1777</f>
        <v>42444</v>
      </c>
      <c r="D1703" s="10" t="s">
        <v>3385</v>
      </c>
      <c r="E1703" s="12" t="s">
        <v>3425</v>
      </c>
      <c r="F1703" s="16">
        <v>175000</v>
      </c>
    </row>
    <row r="1704" spans="1:6" x14ac:dyDescent="0.2">
      <c r="A1704" s="8" t="s">
        <v>336</v>
      </c>
      <c r="B1704" s="9">
        <v>18411229131</v>
      </c>
      <c r="C1704" s="10">
        <f ca="1">TODAY()-1748</f>
        <v>42473</v>
      </c>
      <c r="D1704" s="10" t="s">
        <v>2289</v>
      </c>
      <c r="E1704" s="12" t="s">
        <v>3450</v>
      </c>
      <c r="F1704" s="16">
        <v>305000</v>
      </c>
    </row>
    <row r="1705" spans="1:6" x14ac:dyDescent="0.2">
      <c r="A1705" s="8" t="s">
        <v>733</v>
      </c>
      <c r="B1705" s="9">
        <v>16808077011</v>
      </c>
      <c r="C1705" s="10">
        <f ca="1">TODAY()-4972</f>
        <v>39249</v>
      </c>
      <c r="D1705" s="10" t="s">
        <v>2285</v>
      </c>
      <c r="E1705" s="12" t="s">
        <v>2285</v>
      </c>
      <c r="F1705" s="16">
        <v>425000</v>
      </c>
    </row>
    <row r="1706" spans="1:6" x14ac:dyDescent="0.2">
      <c r="A1706" s="8" t="s">
        <v>716</v>
      </c>
      <c r="B1706" s="9">
        <v>28802091571</v>
      </c>
      <c r="C1706" s="10">
        <f ca="1">TODAY()-4728</f>
        <v>39493</v>
      </c>
      <c r="D1706" s="10" t="s">
        <v>2296</v>
      </c>
      <c r="E1706" s="12" t="s">
        <v>3483</v>
      </c>
      <c r="F1706" s="16">
        <v>410000</v>
      </c>
    </row>
    <row r="1707" spans="1:6" x14ac:dyDescent="0.2">
      <c r="A1707" s="8" t="s">
        <v>725</v>
      </c>
      <c r="B1707" s="9">
        <v>29007062806</v>
      </c>
      <c r="C1707" s="10">
        <f ca="1">TODAY()-2180</f>
        <v>42041</v>
      </c>
      <c r="D1707" s="10" t="s">
        <v>2288</v>
      </c>
      <c r="E1707" s="12" t="s">
        <v>3458</v>
      </c>
      <c r="F1707" s="16">
        <v>320000</v>
      </c>
    </row>
    <row r="1708" spans="1:6" x14ac:dyDescent="0.2">
      <c r="A1708" s="8" t="s">
        <v>557</v>
      </c>
      <c r="B1708" s="9">
        <v>17502123578</v>
      </c>
      <c r="C1708" s="10">
        <f ca="1">TODAY()-2711</f>
        <v>41510</v>
      </c>
      <c r="D1708" s="10" t="s">
        <v>3379</v>
      </c>
      <c r="E1708" s="12" t="s">
        <v>3431</v>
      </c>
      <c r="F1708" s="16">
        <v>175000</v>
      </c>
    </row>
    <row r="1709" spans="1:6" x14ac:dyDescent="0.2">
      <c r="A1709" s="8" t="s">
        <v>1754</v>
      </c>
      <c r="B1709" s="9">
        <v>26304282445</v>
      </c>
      <c r="C1709" s="10">
        <f ca="1">TODAY()-465</f>
        <v>43756</v>
      </c>
      <c r="D1709" s="10" t="s">
        <v>2304</v>
      </c>
      <c r="E1709" s="12" t="s">
        <v>3411</v>
      </c>
      <c r="F1709" s="16">
        <v>300000</v>
      </c>
    </row>
    <row r="1710" spans="1:6" x14ac:dyDescent="0.2">
      <c r="A1710" s="8" t="s">
        <v>1466</v>
      </c>
      <c r="B1710" s="9">
        <v>17804084035</v>
      </c>
      <c r="C1710" s="10">
        <f ca="1">TODAY()-3400</f>
        <v>40821</v>
      </c>
      <c r="D1710" s="10" t="s">
        <v>2294</v>
      </c>
      <c r="E1710" s="12" t="s">
        <v>3548</v>
      </c>
      <c r="F1710" s="16">
        <v>230000</v>
      </c>
    </row>
    <row r="1711" spans="1:6" x14ac:dyDescent="0.2">
      <c r="A1711" s="8" t="s">
        <v>648</v>
      </c>
      <c r="B1711" s="9">
        <v>17801058676</v>
      </c>
      <c r="C1711" s="10">
        <f ca="1">TODAY()-637</f>
        <v>43584</v>
      </c>
      <c r="D1711" s="10" t="s">
        <v>2289</v>
      </c>
      <c r="E1711" s="12" t="s">
        <v>3534</v>
      </c>
      <c r="F1711" s="16">
        <v>370000</v>
      </c>
    </row>
    <row r="1712" spans="1:6" x14ac:dyDescent="0.2">
      <c r="A1712" s="8" t="s">
        <v>1608</v>
      </c>
      <c r="B1712" s="9">
        <v>17707073069</v>
      </c>
      <c r="C1712" s="10">
        <f ca="1">TODAY()-17</f>
        <v>44204</v>
      </c>
      <c r="D1712" s="10" t="s">
        <v>2290</v>
      </c>
      <c r="E1712" s="12" t="s">
        <v>3471</v>
      </c>
      <c r="F1712" s="16">
        <v>370000</v>
      </c>
    </row>
    <row r="1713" spans="1:6" x14ac:dyDescent="0.2">
      <c r="A1713" s="8" t="s">
        <v>2121</v>
      </c>
      <c r="B1713" s="9">
        <v>17904233090</v>
      </c>
      <c r="C1713" s="10">
        <f ca="1">TODAY()-3272</f>
        <v>40949</v>
      </c>
      <c r="D1713" s="10" t="s">
        <v>2285</v>
      </c>
      <c r="E1713" s="12" t="s">
        <v>3493</v>
      </c>
      <c r="F1713" s="16">
        <v>390000</v>
      </c>
    </row>
    <row r="1714" spans="1:6" x14ac:dyDescent="0.2">
      <c r="A1714" s="8" t="s">
        <v>2060</v>
      </c>
      <c r="B1714" s="9">
        <v>26002129523</v>
      </c>
      <c r="C1714" s="10">
        <f ca="1">TODAY()-4772</f>
        <v>39449</v>
      </c>
      <c r="D1714" s="10" t="s">
        <v>3381</v>
      </c>
      <c r="E1714" s="12" t="s">
        <v>3510</v>
      </c>
      <c r="F1714" s="16">
        <v>310000</v>
      </c>
    </row>
    <row r="1715" spans="1:6" x14ac:dyDescent="0.2">
      <c r="A1715" s="8" t="s">
        <v>2183</v>
      </c>
      <c r="B1715" s="9">
        <v>18110141543</v>
      </c>
      <c r="C1715" s="10">
        <f ca="1">TODAY()-1599</f>
        <v>42622</v>
      </c>
      <c r="D1715" s="10" t="s">
        <v>2287</v>
      </c>
      <c r="E1715" s="12" t="s">
        <v>2287</v>
      </c>
      <c r="F1715" s="16">
        <v>205000</v>
      </c>
    </row>
    <row r="1716" spans="1:6" x14ac:dyDescent="0.2">
      <c r="A1716" s="8" t="s">
        <v>1690</v>
      </c>
      <c r="B1716" s="9">
        <v>16112049107</v>
      </c>
      <c r="C1716" s="10">
        <f ca="1">TODAY()-623</f>
        <v>43598</v>
      </c>
      <c r="D1716" s="10" t="s">
        <v>3384</v>
      </c>
      <c r="E1716" s="12" t="s">
        <v>3537</v>
      </c>
      <c r="F1716" s="16">
        <v>240000</v>
      </c>
    </row>
    <row r="1717" spans="1:6" x14ac:dyDescent="0.2">
      <c r="A1717" s="8" t="s">
        <v>945</v>
      </c>
      <c r="B1717" s="9">
        <v>26307155989</v>
      </c>
      <c r="C1717" s="10">
        <f ca="1">TODAY()-1379</f>
        <v>42842</v>
      </c>
      <c r="D1717" s="10" t="s">
        <v>3388</v>
      </c>
      <c r="E1717" s="12" t="s">
        <v>3489</v>
      </c>
      <c r="F1717" s="16">
        <v>450000</v>
      </c>
    </row>
    <row r="1718" spans="1:6" x14ac:dyDescent="0.2">
      <c r="A1718" s="8" t="s">
        <v>506</v>
      </c>
      <c r="B1718" s="9">
        <v>17306259910</v>
      </c>
      <c r="C1718" s="10">
        <f ca="1">TODAY()-2638</f>
        <v>41583</v>
      </c>
      <c r="D1718" s="10" t="s">
        <v>2291</v>
      </c>
      <c r="E1718" s="12" t="s">
        <v>3457</v>
      </c>
      <c r="F1718" s="16">
        <v>470000</v>
      </c>
    </row>
    <row r="1719" spans="1:6" x14ac:dyDescent="0.2">
      <c r="A1719" s="8" t="s">
        <v>1953</v>
      </c>
      <c r="B1719" s="9">
        <v>26201181292</v>
      </c>
      <c r="C1719" s="10">
        <f ca="1">TODAY()-4257</f>
        <v>39964</v>
      </c>
      <c r="D1719" s="10" t="s">
        <v>3390</v>
      </c>
      <c r="E1719" s="12" t="s">
        <v>3450</v>
      </c>
      <c r="F1719" s="16">
        <v>270000</v>
      </c>
    </row>
    <row r="1720" spans="1:6" x14ac:dyDescent="0.2">
      <c r="A1720" s="8" t="s">
        <v>702</v>
      </c>
      <c r="B1720" s="9">
        <v>18905124901</v>
      </c>
      <c r="C1720" s="10">
        <f ca="1">TODAY()-3314</f>
        <v>40907</v>
      </c>
      <c r="D1720" s="10" t="s">
        <v>2284</v>
      </c>
      <c r="E1720" s="12" t="s">
        <v>3470</v>
      </c>
      <c r="F1720" s="16">
        <v>455000</v>
      </c>
    </row>
    <row r="1721" spans="1:6" x14ac:dyDescent="0.2">
      <c r="A1721" s="8" t="s">
        <v>1108</v>
      </c>
      <c r="B1721" s="9">
        <v>26505225209</v>
      </c>
      <c r="C1721" s="10">
        <f ca="1">TODAY()-3953</f>
        <v>40268</v>
      </c>
      <c r="D1721" s="10" t="s">
        <v>2302</v>
      </c>
      <c r="E1721" s="12" t="s">
        <v>3526</v>
      </c>
      <c r="F1721" s="16">
        <v>475000</v>
      </c>
    </row>
    <row r="1722" spans="1:6" x14ac:dyDescent="0.2">
      <c r="A1722" s="8" t="s">
        <v>1823</v>
      </c>
      <c r="B1722" s="9">
        <v>18212268472</v>
      </c>
      <c r="C1722" s="10">
        <f ca="1">TODAY()-1548</f>
        <v>42673</v>
      </c>
      <c r="D1722" s="10" t="s">
        <v>2292</v>
      </c>
      <c r="E1722" s="12" t="s">
        <v>3411</v>
      </c>
      <c r="F1722" s="16">
        <v>315000</v>
      </c>
    </row>
    <row r="1723" spans="1:6" x14ac:dyDescent="0.2">
      <c r="A1723" s="8" t="s">
        <v>1223</v>
      </c>
      <c r="B1723" s="9">
        <v>28609233135</v>
      </c>
      <c r="C1723" s="10">
        <f ca="1">TODAY()-2210</f>
        <v>42011</v>
      </c>
      <c r="D1723" s="10" t="s">
        <v>2286</v>
      </c>
      <c r="E1723" s="12" t="s">
        <v>2286</v>
      </c>
      <c r="F1723" s="16">
        <v>370000</v>
      </c>
    </row>
    <row r="1724" spans="1:6" x14ac:dyDescent="0.2">
      <c r="A1724" s="8" t="s">
        <v>1427</v>
      </c>
      <c r="B1724" s="9">
        <v>16401123963</v>
      </c>
      <c r="C1724" s="10">
        <f ca="1">TODAY()-3956</f>
        <v>40265</v>
      </c>
      <c r="D1724" s="10" t="s">
        <v>2293</v>
      </c>
      <c r="E1724" s="12" t="s">
        <v>3560</v>
      </c>
      <c r="F1724" s="16">
        <v>355000</v>
      </c>
    </row>
    <row r="1725" spans="1:6" x14ac:dyDescent="0.2">
      <c r="A1725" s="8" t="s">
        <v>1031</v>
      </c>
      <c r="B1725" s="9">
        <v>26806088339</v>
      </c>
      <c r="C1725" s="10">
        <f ca="1">TODAY()-4045</f>
        <v>40176</v>
      </c>
      <c r="D1725" s="10" t="s">
        <v>2286</v>
      </c>
      <c r="E1725" s="12" t="s">
        <v>3548</v>
      </c>
      <c r="F1725" s="16">
        <v>320000</v>
      </c>
    </row>
    <row r="1726" spans="1:6" x14ac:dyDescent="0.2">
      <c r="A1726" s="8" t="s">
        <v>906</v>
      </c>
      <c r="B1726" s="9">
        <v>18007169295</v>
      </c>
      <c r="C1726" s="10">
        <f ca="1">TODAY()-3253</f>
        <v>40968</v>
      </c>
      <c r="D1726" s="10" t="s">
        <v>2296</v>
      </c>
      <c r="E1726" s="12" t="s">
        <v>3470</v>
      </c>
      <c r="F1726" s="16">
        <v>470000</v>
      </c>
    </row>
    <row r="1727" spans="1:6" x14ac:dyDescent="0.2">
      <c r="A1727" s="8" t="s">
        <v>1121</v>
      </c>
      <c r="B1727" s="9">
        <v>28807118863</v>
      </c>
      <c r="C1727" s="10">
        <f ca="1">TODAY()-3530</f>
        <v>40691</v>
      </c>
      <c r="D1727" s="10" t="s">
        <v>3399</v>
      </c>
      <c r="E1727" s="12" t="s">
        <v>3423</v>
      </c>
      <c r="F1727" s="16">
        <v>395000</v>
      </c>
    </row>
    <row r="1728" spans="1:6" x14ac:dyDescent="0.2">
      <c r="A1728" s="8" t="s">
        <v>1668</v>
      </c>
      <c r="B1728" s="9">
        <v>18601052985</v>
      </c>
      <c r="C1728" s="10">
        <f ca="1">TODAY()-459</f>
        <v>43762</v>
      </c>
      <c r="D1728" s="10" t="s">
        <v>2297</v>
      </c>
      <c r="E1728" s="12" t="s">
        <v>3461</v>
      </c>
      <c r="F1728" s="16">
        <v>215000</v>
      </c>
    </row>
    <row r="1729" spans="1:6" x14ac:dyDescent="0.2">
      <c r="A1729" s="8" t="s">
        <v>1280</v>
      </c>
      <c r="B1729" s="9">
        <v>17303083387</v>
      </c>
      <c r="C1729" s="10">
        <f ca="1">TODAY()-4252</f>
        <v>39969</v>
      </c>
      <c r="D1729" s="10" t="s">
        <v>3398</v>
      </c>
      <c r="E1729" s="12" t="s">
        <v>3414</v>
      </c>
      <c r="F1729" s="16">
        <v>290000</v>
      </c>
    </row>
    <row r="1730" spans="1:6" x14ac:dyDescent="0.2">
      <c r="A1730" s="8" t="s">
        <v>452</v>
      </c>
      <c r="B1730" s="9">
        <v>16812286063</v>
      </c>
      <c r="C1730" s="10">
        <f ca="1">TODAY()-1332</f>
        <v>42889</v>
      </c>
      <c r="D1730" s="10" t="s">
        <v>3389</v>
      </c>
      <c r="E1730" s="12" t="s">
        <v>3389</v>
      </c>
      <c r="F1730" s="16">
        <v>285000</v>
      </c>
    </row>
    <row r="1731" spans="1:6" x14ac:dyDescent="0.2">
      <c r="A1731" s="8" t="s">
        <v>870</v>
      </c>
      <c r="B1731" s="9">
        <v>17501198937</v>
      </c>
      <c r="C1731" s="10">
        <f ca="1">TODAY()-926</f>
        <v>43295</v>
      </c>
      <c r="D1731" s="10" t="s">
        <v>3378</v>
      </c>
      <c r="E1731" s="12" t="s">
        <v>3486</v>
      </c>
      <c r="F1731" s="16">
        <v>180000</v>
      </c>
    </row>
    <row r="1732" spans="1:6" x14ac:dyDescent="0.2">
      <c r="A1732" s="8" t="s">
        <v>761</v>
      </c>
      <c r="B1732" s="9">
        <v>26707043746</v>
      </c>
      <c r="C1732" s="10">
        <f ca="1">TODAY()-3371</f>
        <v>40850</v>
      </c>
      <c r="D1732" s="10" t="s">
        <v>3399</v>
      </c>
      <c r="E1732" s="12" t="s">
        <v>3399</v>
      </c>
      <c r="F1732" s="16">
        <v>495000</v>
      </c>
    </row>
    <row r="1733" spans="1:6" x14ac:dyDescent="0.2">
      <c r="A1733" s="8" t="s">
        <v>1700</v>
      </c>
      <c r="B1733" s="9">
        <v>17612103304</v>
      </c>
      <c r="C1733" s="10">
        <f ca="1">TODAY()-1356</f>
        <v>42865</v>
      </c>
      <c r="D1733" s="10" t="s">
        <v>3383</v>
      </c>
      <c r="E1733" s="12" t="s">
        <v>3559</v>
      </c>
      <c r="F1733" s="16">
        <v>470000</v>
      </c>
    </row>
    <row r="1734" spans="1:6" x14ac:dyDescent="0.2">
      <c r="A1734" s="8" t="s">
        <v>1656</v>
      </c>
      <c r="B1734" s="9">
        <v>28509252552</v>
      </c>
      <c r="C1734" s="10">
        <f ca="1">TODAY()-4643</f>
        <v>39578</v>
      </c>
      <c r="D1734" s="10" t="s">
        <v>2301</v>
      </c>
      <c r="E1734" s="12" t="s">
        <v>3499</v>
      </c>
      <c r="F1734" s="16">
        <v>290000</v>
      </c>
    </row>
    <row r="1735" spans="1:6" x14ac:dyDescent="0.2">
      <c r="A1735" s="8" t="s">
        <v>559</v>
      </c>
      <c r="B1735" s="9">
        <v>16204013964</v>
      </c>
      <c r="C1735" s="10">
        <f ca="1">TODAY()-4575</f>
        <v>39646</v>
      </c>
      <c r="D1735" s="10" t="s">
        <v>3387</v>
      </c>
      <c r="E1735" s="12" t="s">
        <v>3499</v>
      </c>
      <c r="F1735" s="16">
        <v>385000</v>
      </c>
    </row>
    <row r="1736" spans="1:6" x14ac:dyDescent="0.2">
      <c r="A1736" s="8" t="s">
        <v>2102</v>
      </c>
      <c r="B1736" s="9">
        <v>17702011874</v>
      </c>
      <c r="C1736" s="10">
        <f ca="1">TODAY()-875</f>
        <v>43346</v>
      </c>
      <c r="D1736" s="10" t="s">
        <v>2297</v>
      </c>
      <c r="E1736" s="12" t="s">
        <v>3442</v>
      </c>
      <c r="F1736" s="16">
        <v>230000</v>
      </c>
    </row>
    <row r="1737" spans="1:6" x14ac:dyDescent="0.2">
      <c r="A1737" s="8" t="s">
        <v>1945</v>
      </c>
      <c r="B1737" s="9">
        <v>28207108221</v>
      </c>
      <c r="C1737" s="10">
        <f ca="1">TODAY()-4135</f>
        <v>40086</v>
      </c>
      <c r="D1737" s="10" t="s">
        <v>3396</v>
      </c>
      <c r="E1737" s="12" t="s">
        <v>3550</v>
      </c>
      <c r="F1737" s="16">
        <v>355000</v>
      </c>
    </row>
    <row r="1738" spans="1:6" x14ac:dyDescent="0.2">
      <c r="A1738" s="8" t="s">
        <v>762</v>
      </c>
      <c r="B1738" s="9">
        <v>16206167404</v>
      </c>
      <c r="C1738" s="10">
        <f ca="1">TODAY()-701</f>
        <v>43520</v>
      </c>
      <c r="D1738" s="10" t="s">
        <v>2287</v>
      </c>
      <c r="E1738" s="12" t="s">
        <v>3542</v>
      </c>
      <c r="F1738" s="16">
        <v>200000</v>
      </c>
    </row>
    <row r="1739" spans="1:6" x14ac:dyDescent="0.2">
      <c r="A1739" s="8" t="s">
        <v>1366</v>
      </c>
      <c r="B1739" s="9">
        <v>27008108792</v>
      </c>
      <c r="C1739" s="10">
        <f ca="1">TODAY()-4716</f>
        <v>39505</v>
      </c>
      <c r="D1739" s="10" t="s">
        <v>2287</v>
      </c>
      <c r="E1739" s="12" t="s">
        <v>3421</v>
      </c>
      <c r="F1739" s="16">
        <v>375000</v>
      </c>
    </row>
    <row r="1740" spans="1:6" x14ac:dyDescent="0.2">
      <c r="A1740" s="8" t="s">
        <v>2036</v>
      </c>
      <c r="B1740" s="9">
        <v>26301025757</v>
      </c>
      <c r="C1740" s="10">
        <f ca="1">TODAY()-2110</f>
        <v>42111</v>
      </c>
      <c r="D1740" s="10" t="s">
        <v>2303</v>
      </c>
      <c r="E1740" s="12" t="s">
        <v>3511</v>
      </c>
      <c r="F1740" s="16">
        <v>240000</v>
      </c>
    </row>
    <row r="1741" spans="1:6" x14ac:dyDescent="0.2">
      <c r="A1741" s="8" t="s">
        <v>1188</v>
      </c>
      <c r="B1741" s="9">
        <v>16201271662</v>
      </c>
      <c r="C1741" s="10">
        <f ca="1">TODAY()-4252</f>
        <v>39969</v>
      </c>
      <c r="D1741" s="10" t="s">
        <v>3393</v>
      </c>
      <c r="E1741" s="12" t="s">
        <v>3453</v>
      </c>
      <c r="F1741" s="16">
        <v>395000</v>
      </c>
    </row>
    <row r="1742" spans="1:6" x14ac:dyDescent="0.2">
      <c r="A1742" s="8" t="s">
        <v>1592</v>
      </c>
      <c r="B1742" s="9">
        <v>27003222200</v>
      </c>
      <c r="C1742" s="10">
        <f ca="1">TODAY()-2610</f>
        <v>41611</v>
      </c>
      <c r="D1742" s="10" t="s">
        <v>3384</v>
      </c>
      <c r="E1742" s="12" t="s">
        <v>3515</v>
      </c>
      <c r="F1742" s="16">
        <v>210000</v>
      </c>
    </row>
    <row r="1743" spans="1:6" x14ac:dyDescent="0.2">
      <c r="A1743" s="8" t="s">
        <v>505</v>
      </c>
      <c r="B1743" s="9">
        <v>17003185924</v>
      </c>
      <c r="C1743" s="10">
        <f ca="1">TODAY()-50</f>
        <v>44171</v>
      </c>
      <c r="D1743" s="10" t="s">
        <v>2291</v>
      </c>
      <c r="E1743" s="12" t="s">
        <v>3558</v>
      </c>
      <c r="F1743" s="16">
        <v>280000</v>
      </c>
    </row>
    <row r="1744" spans="1:6" x14ac:dyDescent="0.2">
      <c r="A1744" s="8" t="s">
        <v>1944</v>
      </c>
      <c r="B1744" s="9">
        <v>18301149290</v>
      </c>
      <c r="C1744" s="10">
        <f ca="1">TODAY()-2416</f>
        <v>41805</v>
      </c>
      <c r="D1744" s="10" t="s">
        <v>2290</v>
      </c>
      <c r="E1744" s="12" t="s">
        <v>3445</v>
      </c>
      <c r="F1744" s="16">
        <v>190000</v>
      </c>
    </row>
    <row r="1745" spans="1:6" x14ac:dyDescent="0.2">
      <c r="A1745" s="8" t="s">
        <v>2143</v>
      </c>
      <c r="B1745" s="9">
        <v>27005102114</v>
      </c>
      <c r="C1745" s="10">
        <f ca="1">TODAY()-997</f>
        <v>43224</v>
      </c>
      <c r="D1745" s="10" t="s">
        <v>3402</v>
      </c>
      <c r="E1745" s="12" t="s">
        <v>3460</v>
      </c>
      <c r="F1745" s="16">
        <v>225000</v>
      </c>
    </row>
    <row r="1746" spans="1:6" x14ac:dyDescent="0.2">
      <c r="A1746" s="8" t="s">
        <v>437</v>
      </c>
      <c r="B1746" s="9">
        <v>17710268441</v>
      </c>
      <c r="C1746" s="10">
        <f ca="1">TODAY()-277</f>
        <v>43944</v>
      </c>
      <c r="D1746" s="10" t="s">
        <v>3383</v>
      </c>
      <c r="E1746" s="12" t="s">
        <v>3546</v>
      </c>
      <c r="F1746" s="16">
        <v>420000</v>
      </c>
    </row>
    <row r="1747" spans="1:6" x14ac:dyDescent="0.2">
      <c r="A1747" s="8" t="s">
        <v>2025</v>
      </c>
      <c r="B1747" s="9">
        <v>28401225513</v>
      </c>
      <c r="C1747" s="10">
        <f ca="1">TODAY()-3266</f>
        <v>40955</v>
      </c>
      <c r="D1747" s="10" t="s">
        <v>2301</v>
      </c>
      <c r="E1747" s="12" t="s">
        <v>3536</v>
      </c>
      <c r="F1747" s="16">
        <v>320000</v>
      </c>
    </row>
    <row r="1748" spans="1:6" x14ac:dyDescent="0.2">
      <c r="A1748" s="8" t="s">
        <v>1914</v>
      </c>
      <c r="B1748" s="9">
        <v>27310159641</v>
      </c>
      <c r="C1748" s="10">
        <f ca="1">TODAY()-369</f>
        <v>43852</v>
      </c>
      <c r="D1748" s="10" t="s">
        <v>2296</v>
      </c>
      <c r="E1748" s="12" t="s">
        <v>3503</v>
      </c>
      <c r="F1748" s="16">
        <v>190000</v>
      </c>
    </row>
    <row r="1749" spans="1:6" x14ac:dyDescent="0.2">
      <c r="A1749" s="8" t="s">
        <v>1885</v>
      </c>
      <c r="B1749" s="9">
        <v>27105017541</v>
      </c>
      <c r="C1749" s="10">
        <f ca="1">TODAY()-2280</f>
        <v>41941</v>
      </c>
      <c r="D1749" s="10" t="s">
        <v>2294</v>
      </c>
      <c r="E1749" s="12" t="s">
        <v>3431</v>
      </c>
      <c r="F1749" s="16">
        <v>320000</v>
      </c>
    </row>
    <row r="1750" spans="1:6" x14ac:dyDescent="0.2">
      <c r="A1750" s="8" t="s">
        <v>1451</v>
      </c>
      <c r="B1750" s="9">
        <v>17705265985</v>
      </c>
      <c r="C1750" s="10">
        <f ca="1">TODAY()-470</f>
        <v>43751</v>
      </c>
      <c r="D1750" s="10" t="s">
        <v>3402</v>
      </c>
      <c r="E1750" s="12" t="s">
        <v>3431</v>
      </c>
      <c r="F1750" s="16">
        <v>445000</v>
      </c>
    </row>
    <row r="1751" spans="1:6" x14ac:dyDescent="0.2">
      <c r="A1751" s="8" t="s">
        <v>891</v>
      </c>
      <c r="B1751" s="9">
        <v>18606242996</v>
      </c>
      <c r="C1751" s="10">
        <f ca="1">TODAY()-948</f>
        <v>43273</v>
      </c>
      <c r="D1751" s="10" t="s">
        <v>3384</v>
      </c>
      <c r="E1751" s="12" t="s">
        <v>3483</v>
      </c>
      <c r="F1751" s="16">
        <v>370000</v>
      </c>
    </row>
    <row r="1752" spans="1:6" x14ac:dyDescent="0.2">
      <c r="A1752" s="8" t="s">
        <v>1956</v>
      </c>
      <c r="B1752" s="9">
        <v>18710027234</v>
      </c>
      <c r="C1752" s="10">
        <f ca="1">TODAY()-2813</f>
        <v>41408</v>
      </c>
      <c r="D1752" s="10" t="s">
        <v>3389</v>
      </c>
      <c r="E1752" s="12" t="s">
        <v>3429</v>
      </c>
      <c r="F1752" s="16">
        <v>320000</v>
      </c>
    </row>
    <row r="1753" spans="1:6" x14ac:dyDescent="0.2">
      <c r="A1753" s="8" t="s">
        <v>699</v>
      </c>
      <c r="B1753" s="9">
        <v>16812135363</v>
      </c>
      <c r="C1753" s="10">
        <f ca="1">TODAY()-3830</f>
        <v>40391</v>
      </c>
      <c r="D1753" s="10" t="s">
        <v>2297</v>
      </c>
      <c r="E1753" s="12" t="s">
        <v>3443</v>
      </c>
      <c r="F1753" s="16">
        <v>290000</v>
      </c>
    </row>
    <row r="1754" spans="1:6" x14ac:dyDescent="0.2">
      <c r="A1754" s="8" t="s">
        <v>1943</v>
      </c>
      <c r="B1754" s="9">
        <v>18201274589</v>
      </c>
      <c r="C1754" s="10">
        <f ca="1">TODAY()-3086</f>
        <v>41135</v>
      </c>
      <c r="D1754" s="10" t="s">
        <v>3380</v>
      </c>
      <c r="E1754" s="12" t="s">
        <v>3380</v>
      </c>
      <c r="F1754" s="16">
        <v>340000</v>
      </c>
    </row>
    <row r="1755" spans="1:6" x14ac:dyDescent="0.2">
      <c r="A1755" s="8" t="s">
        <v>1385</v>
      </c>
      <c r="B1755" s="9">
        <v>26512083324</v>
      </c>
      <c r="C1755" s="10">
        <f ca="1">TODAY()-3558</f>
        <v>40663</v>
      </c>
      <c r="D1755" s="10" t="s">
        <v>2291</v>
      </c>
      <c r="E1755" s="12" t="s">
        <v>3416</v>
      </c>
      <c r="F1755" s="16">
        <v>320000</v>
      </c>
    </row>
    <row r="1756" spans="1:6" x14ac:dyDescent="0.2">
      <c r="A1756" s="8" t="s">
        <v>1798</v>
      </c>
      <c r="B1756" s="9">
        <v>18008246798</v>
      </c>
      <c r="C1756" s="10">
        <f ca="1">TODAY()-2325</f>
        <v>41896</v>
      </c>
      <c r="D1756" s="10" t="s">
        <v>3396</v>
      </c>
      <c r="E1756" s="12" t="s">
        <v>3544</v>
      </c>
      <c r="F1756" s="16">
        <v>410000</v>
      </c>
    </row>
    <row r="1757" spans="1:6" x14ac:dyDescent="0.2">
      <c r="A1757" s="8" t="s">
        <v>953</v>
      </c>
      <c r="B1757" s="9">
        <v>18003158822</v>
      </c>
      <c r="C1757" s="10">
        <f ca="1">TODAY()-3406</f>
        <v>40815</v>
      </c>
      <c r="D1757" s="10" t="s">
        <v>2302</v>
      </c>
      <c r="E1757" s="12" t="s">
        <v>3407</v>
      </c>
      <c r="F1757" s="16">
        <v>350000</v>
      </c>
    </row>
    <row r="1758" spans="1:6" x14ac:dyDescent="0.2">
      <c r="A1758" s="8" t="s">
        <v>2037</v>
      </c>
      <c r="B1758" s="9">
        <v>28605136937</v>
      </c>
      <c r="C1758" s="10">
        <f ca="1">TODAY()-3627</f>
        <v>40594</v>
      </c>
      <c r="D1758" s="10" t="s">
        <v>3400</v>
      </c>
      <c r="E1758" s="12" t="s">
        <v>3400</v>
      </c>
      <c r="F1758" s="16">
        <v>240000</v>
      </c>
    </row>
    <row r="1759" spans="1:6" x14ac:dyDescent="0.2">
      <c r="A1759" s="8" t="s">
        <v>1518</v>
      </c>
      <c r="B1759" s="9">
        <v>26201087917</v>
      </c>
      <c r="C1759" s="10">
        <f ca="1">TODAY()-4631</f>
        <v>39590</v>
      </c>
      <c r="D1759" s="10" t="s">
        <v>2287</v>
      </c>
      <c r="E1759" s="12" t="s">
        <v>3461</v>
      </c>
      <c r="F1759" s="16">
        <v>190000</v>
      </c>
    </row>
    <row r="1760" spans="1:6" x14ac:dyDescent="0.2">
      <c r="A1760" s="8" t="s">
        <v>2190</v>
      </c>
      <c r="B1760" s="9">
        <v>27610017089</v>
      </c>
      <c r="C1760" s="10">
        <f ca="1">TODAY()-3932</f>
        <v>40289</v>
      </c>
      <c r="D1760" s="10" t="s">
        <v>3380</v>
      </c>
      <c r="E1760" s="12" t="s">
        <v>3504</v>
      </c>
      <c r="F1760" s="16">
        <v>250000</v>
      </c>
    </row>
    <row r="1761" spans="1:6" x14ac:dyDescent="0.2">
      <c r="A1761" s="8" t="s">
        <v>349</v>
      </c>
      <c r="B1761" s="9">
        <v>18203275045</v>
      </c>
      <c r="C1761" s="10">
        <f ca="1">TODAY()-4338</f>
        <v>39883</v>
      </c>
      <c r="D1761" s="10" t="s">
        <v>2302</v>
      </c>
      <c r="E1761" s="12" t="s">
        <v>3415</v>
      </c>
      <c r="F1761" s="16">
        <v>340000</v>
      </c>
    </row>
    <row r="1762" spans="1:6" x14ac:dyDescent="0.2">
      <c r="A1762" s="8" t="s">
        <v>963</v>
      </c>
      <c r="B1762" s="9">
        <v>18101168156</v>
      </c>
      <c r="C1762" s="10">
        <f ca="1">TODAY()-693</f>
        <v>43528</v>
      </c>
      <c r="D1762" s="10" t="s">
        <v>3387</v>
      </c>
      <c r="E1762" s="12" t="s">
        <v>3454</v>
      </c>
      <c r="F1762" s="16">
        <v>290000</v>
      </c>
    </row>
    <row r="1763" spans="1:6" x14ac:dyDescent="0.2">
      <c r="A1763" s="8" t="s">
        <v>1576</v>
      </c>
      <c r="B1763" s="9">
        <v>16405041559</v>
      </c>
      <c r="C1763" s="10">
        <f ca="1">TODAY()-316</f>
        <v>43905</v>
      </c>
      <c r="D1763" s="10" t="s">
        <v>2290</v>
      </c>
      <c r="E1763" s="12" t="s">
        <v>3546</v>
      </c>
      <c r="F1763" s="16">
        <v>370000</v>
      </c>
    </row>
    <row r="1764" spans="1:6" x14ac:dyDescent="0.2">
      <c r="A1764" s="8" t="s">
        <v>1730</v>
      </c>
      <c r="B1764" s="9">
        <v>18307139536</v>
      </c>
      <c r="C1764" s="10">
        <f ca="1">TODAY()-3595</f>
        <v>40626</v>
      </c>
      <c r="D1764" s="10" t="s">
        <v>3382</v>
      </c>
      <c r="E1764" s="12" t="s">
        <v>3539</v>
      </c>
      <c r="F1764" s="16">
        <v>230000</v>
      </c>
    </row>
    <row r="1765" spans="1:6" x14ac:dyDescent="0.2">
      <c r="A1765" s="8" t="s">
        <v>828</v>
      </c>
      <c r="B1765" s="9">
        <v>26107143249</v>
      </c>
      <c r="C1765" s="10">
        <f ca="1">TODAY()-3039</f>
        <v>41182</v>
      </c>
      <c r="D1765" s="10" t="s">
        <v>2301</v>
      </c>
      <c r="E1765" s="12" t="s">
        <v>3562</v>
      </c>
      <c r="F1765" s="16">
        <v>330000</v>
      </c>
    </row>
    <row r="1766" spans="1:6" x14ac:dyDescent="0.2">
      <c r="A1766" s="8" t="s">
        <v>974</v>
      </c>
      <c r="B1766" s="9">
        <v>16002187083</v>
      </c>
      <c r="C1766" s="10">
        <f ca="1">TODAY()-2580</f>
        <v>41641</v>
      </c>
      <c r="D1766" s="10" t="s">
        <v>2285</v>
      </c>
      <c r="E1766" s="12" t="s">
        <v>3439</v>
      </c>
      <c r="F1766" s="16">
        <v>335000</v>
      </c>
    </row>
    <row r="1767" spans="1:6" x14ac:dyDescent="0.2">
      <c r="A1767" s="8" t="s">
        <v>1139</v>
      </c>
      <c r="B1767" s="9">
        <v>17607045403</v>
      </c>
      <c r="C1767" s="10">
        <f ca="1">TODAY()-3286</f>
        <v>40935</v>
      </c>
      <c r="D1767" s="10" t="s">
        <v>3379</v>
      </c>
      <c r="E1767" s="12" t="s">
        <v>3480</v>
      </c>
      <c r="F1767" s="16">
        <v>470000</v>
      </c>
    </row>
    <row r="1768" spans="1:6" x14ac:dyDescent="0.2">
      <c r="A1768" s="8" t="s">
        <v>420</v>
      </c>
      <c r="B1768" s="9">
        <v>28403177912</v>
      </c>
      <c r="C1768" s="10">
        <f ca="1">TODAY()-2453</f>
        <v>41768</v>
      </c>
      <c r="D1768" s="10" t="s">
        <v>3388</v>
      </c>
      <c r="E1768" s="12" t="s">
        <v>3507</v>
      </c>
      <c r="F1768" s="16">
        <v>275000</v>
      </c>
    </row>
    <row r="1769" spans="1:6" x14ac:dyDescent="0.2">
      <c r="A1769" s="8" t="s">
        <v>669</v>
      </c>
      <c r="B1769" s="9">
        <v>17907159129</v>
      </c>
      <c r="C1769" s="10">
        <f ca="1">TODAY()-54</f>
        <v>44167</v>
      </c>
      <c r="D1769" s="10" t="s">
        <v>3384</v>
      </c>
      <c r="E1769" s="12" t="s">
        <v>3520</v>
      </c>
      <c r="F1769" s="16">
        <v>315000</v>
      </c>
    </row>
    <row r="1770" spans="1:6" x14ac:dyDescent="0.2">
      <c r="A1770" s="8" t="s">
        <v>1681</v>
      </c>
      <c r="B1770" s="9">
        <v>16406112244</v>
      </c>
      <c r="C1770" s="10">
        <f ca="1">TODAY()-3647</f>
        <v>40574</v>
      </c>
      <c r="D1770" s="10" t="s">
        <v>3386</v>
      </c>
      <c r="E1770" s="12" t="s">
        <v>3524</v>
      </c>
      <c r="F1770" s="16">
        <v>305000</v>
      </c>
    </row>
    <row r="1771" spans="1:6" x14ac:dyDescent="0.2">
      <c r="A1771" s="8" t="s">
        <v>1328</v>
      </c>
      <c r="B1771" s="9">
        <v>17501011323</v>
      </c>
      <c r="C1771" s="10">
        <f ca="1">TODAY()-221</f>
        <v>44000</v>
      </c>
      <c r="D1771" s="10" t="s">
        <v>2301</v>
      </c>
      <c r="E1771" s="12" t="s">
        <v>3506</v>
      </c>
      <c r="F1771" s="16">
        <v>220000</v>
      </c>
    </row>
    <row r="1772" spans="1:6" x14ac:dyDescent="0.2">
      <c r="A1772" s="8" t="s">
        <v>433</v>
      </c>
      <c r="B1772" s="9">
        <v>27509124021</v>
      </c>
      <c r="C1772" s="10">
        <f ca="1">TODAY()-784</f>
        <v>43437</v>
      </c>
      <c r="D1772" s="10" t="s">
        <v>2286</v>
      </c>
      <c r="E1772" s="12" t="s">
        <v>3489</v>
      </c>
      <c r="F1772" s="16">
        <v>305000</v>
      </c>
    </row>
    <row r="1773" spans="1:6" x14ac:dyDescent="0.2">
      <c r="A1773" s="8" t="s">
        <v>616</v>
      </c>
      <c r="B1773" s="9">
        <v>27502136092</v>
      </c>
      <c r="C1773" s="10">
        <f ca="1">TODAY()-4558</f>
        <v>39663</v>
      </c>
      <c r="D1773" s="10" t="s">
        <v>2291</v>
      </c>
      <c r="E1773" s="12" t="s">
        <v>3436</v>
      </c>
      <c r="F1773" s="16">
        <v>370000</v>
      </c>
    </row>
    <row r="1774" spans="1:6" x14ac:dyDescent="0.2">
      <c r="A1774" s="8" t="s">
        <v>2105</v>
      </c>
      <c r="B1774" s="9">
        <v>27809052829</v>
      </c>
      <c r="C1774" s="10">
        <f ca="1">TODAY()-4899</f>
        <v>39322</v>
      </c>
      <c r="D1774" s="10" t="s">
        <v>3399</v>
      </c>
      <c r="E1774" s="12" t="s">
        <v>3465</v>
      </c>
      <c r="F1774" s="16">
        <v>400000</v>
      </c>
    </row>
    <row r="1775" spans="1:6" x14ac:dyDescent="0.2">
      <c r="A1775" s="8" t="s">
        <v>537</v>
      </c>
      <c r="B1775" s="9">
        <v>26110155720</v>
      </c>
      <c r="C1775" s="10">
        <f ca="1">TODAY()-1527</f>
        <v>42694</v>
      </c>
      <c r="D1775" s="10" t="s">
        <v>3402</v>
      </c>
      <c r="E1775" s="12" t="s">
        <v>3470</v>
      </c>
      <c r="F1775" s="16">
        <v>375000</v>
      </c>
    </row>
    <row r="1776" spans="1:6" x14ac:dyDescent="0.2">
      <c r="A1776" s="8" t="s">
        <v>785</v>
      </c>
      <c r="B1776" s="9">
        <v>27504282479</v>
      </c>
      <c r="C1776" s="10">
        <f ca="1">TODAY()-1843</f>
        <v>42378</v>
      </c>
      <c r="D1776" s="10" t="s">
        <v>2288</v>
      </c>
      <c r="E1776" s="12" t="s">
        <v>3497</v>
      </c>
      <c r="F1776" s="16">
        <v>300000</v>
      </c>
    </row>
    <row r="1777" spans="1:6" x14ac:dyDescent="0.2">
      <c r="A1777" s="8" t="s">
        <v>864</v>
      </c>
      <c r="B1777" s="9">
        <v>16910257406</v>
      </c>
      <c r="C1777" s="10">
        <f ca="1">TODAY()-3482</f>
        <v>40739</v>
      </c>
      <c r="D1777" s="10" t="s">
        <v>3396</v>
      </c>
      <c r="E1777" s="12" t="s">
        <v>3431</v>
      </c>
      <c r="F1777" s="16">
        <v>270000</v>
      </c>
    </row>
    <row r="1778" spans="1:6" x14ac:dyDescent="0.2">
      <c r="A1778" s="8" t="s">
        <v>1771</v>
      </c>
      <c r="B1778" s="9">
        <v>17209268871</v>
      </c>
      <c r="C1778" s="10">
        <f ca="1">TODAY()-903</f>
        <v>43318</v>
      </c>
      <c r="D1778" s="10" t="s">
        <v>3392</v>
      </c>
      <c r="E1778" s="12" t="s">
        <v>3485</v>
      </c>
      <c r="F1778" s="16">
        <v>255000</v>
      </c>
    </row>
    <row r="1779" spans="1:6" x14ac:dyDescent="0.2">
      <c r="A1779" s="8" t="s">
        <v>2106</v>
      </c>
      <c r="B1779" s="9">
        <v>27308145469</v>
      </c>
      <c r="C1779" s="10">
        <f ca="1">TODAY()-462</f>
        <v>43759</v>
      </c>
      <c r="D1779" s="10" t="s">
        <v>2298</v>
      </c>
      <c r="E1779" s="12" t="s">
        <v>3462</v>
      </c>
      <c r="F1779" s="16">
        <v>295000</v>
      </c>
    </row>
    <row r="1780" spans="1:6" x14ac:dyDescent="0.2">
      <c r="A1780" s="8" t="s">
        <v>1789</v>
      </c>
      <c r="B1780" s="9">
        <v>16905068817</v>
      </c>
      <c r="C1780" s="10">
        <f ca="1">TODAY()-4714</f>
        <v>39507</v>
      </c>
      <c r="D1780" s="10" t="s">
        <v>3402</v>
      </c>
      <c r="E1780" s="12" t="s">
        <v>3479</v>
      </c>
      <c r="F1780" s="16">
        <v>220000</v>
      </c>
    </row>
    <row r="1781" spans="1:6" x14ac:dyDescent="0.2">
      <c r="A1781" s="8" t="s">
        <v>1036</v>
      </c>
      <c r="B1781" s="9">
        <v>27209112728</v>
      </c>
      <c r="C1781" s="10">
        <f ca="1">TODAY()-1732</f>
        <v>42489</v>
      </c>
      <c r="D1781" s="10" t="s">
        <v>3392</v>
      </c>
      <c r="E1781" s="12" t="s">
        <v>3540</v>
      </c>
      <c r="F1781" s="16">
        <v>440000</v>
      </c>
    </row>
    <row r="1782" spans="1:6" x14ac:dyDescent="0.2">
      <c r="A1782" s="8" t="s">
        <v>1000</v>
      </c>
      <c r="B1782" s="9">
        <v>27904225422</v>
      </c>
      <c r="C1782" s="10">
        <f ca="1">TODAY()-2241</f>
        <v>41980</v>
      </c>
      <c r="D1782" s="10" t="s">
        <v>2286</v>
      </c>
      <c r="E1782" s="12" t="s">
        <v>3415</v>
      </c>
      <c r="F1782" s="16">
        <v>470000</v>
      </c>
    </row>
    <row r="1783" spans="1:6" x14ac:dyDescent="0.2">
      <c r="A1783" s="8" t="s">
        <v>999</v>
      </c>
      <c r="B1783" s="9">
        <v>28001057839</v>
      </c>
      <c r="C1783" s="10">
        <f ca="1">TODAY()-4610</f>
        <v>39611</v>
      </c>
      <c r="D1783" s="10" t="s">
        <v>3384</v>
      </c>
      <c r="E1783" s="12" t="s">
        <v>3558</v>
      </c>
      <c r="F1783" s="16">
        <v>420000</v>
      </c>
    </row>
    <row r="1784" spans="1:6" x14ac:dyDescent="0.2">
      <c r="A1784" s="8" t="s">
        <v>1580</v>
      </c>
      <c r="B1784" s="9">
        <v>27006234623</v>
      </c>
      <c r="C1784" s="10">
        <f ca="1">TODAY()-4137</f>
        <v>40084</v>
      </c>
      <c r="D1784" s="10" t="s">
        <v>3398</v>
      </c>
      <c r="E1784" s="12" t="s">
        <v>3457</v>
      </c>
      <c r="F1784" s="16">
        <v>370000</v>
      </c>
    </row>
    <row r="1785" spans="1:6" x14ac:dyDescent="0.2">
      <c r="A1785" s="8" t="s">
        <v>995</v>
      </c>
      <c r="B1785" s="9">
        <v>16805137535</v>
      </c>
      <c r="C1785" s="10">
        <f ca="1">TODAY()-2580</f>
        <v>41641</v>
      </c>
      <c r="D1785" s="10" t="s">
        <v>3381</v>
      </c>
      <c r="E1785" s="12" t="s">
        <v>3476</v>
      </c>
      <c r="F1785" s="16">
        <v>265000</v>
      </c>
    </row>
    <row r="1786" spans="1:6" x14ac:dyDescent="0.2">
      <c r="A1786" s="8" t="s">
        <v>562</v>
      </c>
      <c r="B1786" s="9">
        <v>26003121914</v>
      </c>
      <c r="C1786" s="10">
        <f ca="1">TODAY()-4764</f>
        <v>39457</v>
      </c>
      <c r="D1786" s="10" t="s">
        <v>3387</v>
      </c>
      <c r="E1786" s="12" t="s">
        <v>3408</v>
      </c>
      <c r="F1786" s="16">
        <v>245000</v>
      </c>
    </row>
    <row r="1787" spans="1:6" x14ac:dyDescent="0.2">
      <c r="A1787" s="8" t="s">
        <v>1781</v>
      </c>
      <c r="B1787" s="9">
        <v>28903034081</v>
      </c>
      <c r="C1787" s="10">
        <f ca="1">TODAY()-4117</f>
        <v>40104</v>
      </c>
      <c r="D1787" s="10" t="s">
        <v>3399</v>
      </c>
      <c r="E1787" s="12" t="s">
        <v>3399</v>
      </c>
      <c r="F1787" s="16">
        <v>180000</v>
      </c>
    </row>
    <row r="1788" spans="1:6" x14ac:dyDescent="0.2">
      <c r="A1788" s="8" t="s">
        <v>2198</v>
      </c>
      <c r="B1788" s="9">
        <v>18306229612</v>
      </c>
      <c r="C1788" s="10">
        <f ca="1">TODAY()-2304</f>
        <v>41917</v>
      </c>
      <c r="D1788" s="10" t="s">
        <v>3388</v>
      </c>
      <c r="E1788" s="12" t="s">
        <v>3450</v>
      </c>
      <c r="F1788" s="16">
        <v>295000</v>
      </c>
    </row>
    <row r="1789" spans="1:6" x14ac:dyDescent="0.2">
      <c r="A1789" s="8" t="s">
        <v>1757</v>
      </c>
      <c r="B1789" s="9">
        <v>28101249930</v>
      </c>
      <c r="C1789" s="10">
        <f ca="1">TODAY()-4545</f>
        <v>39676</v>
      </c>
      <c r="D1789" s="10" t="s">
        <v>2292</v>
      </c>
      <c r="E1789" s="12" t="s">
        <v>3500</v>
      </c>
      <c r="F1789" s="16">
        <v>255000</v>
      </c>
    </row>
    <row r="1790" spans="1:6" x14ac:dyDescent="0.2">
      <c r="A1790" s="8" t="s">
        <v>1335</v>
      </c>
      <c r="B1790" s="9">
        <v>16502184708</v>
      </c>
      <c r="C1790" s="10">
        <f ca="1">TODAY()-1648</f>
        <v>42573</v>
      </c>
      <c r="D1790" s="10" t="s">
        <v>2300</v>
      </c>
      <c r="E1790" s="12" t="s">
        <v>3542</v>
      </c>
      <c r="F1790" s="16">
        <v>335000</v>
      </c>
    </row>
    <row r="1791" spans="1:6" x14ac:dyDescent="0.2">
      <c r="A1791" s="8" t="s">
        <v>1392</v>
      </c>
      <c r="B1791" s="9">
        <v>28111206237</v>
      </c>
      <c r="C1791" s="10">
        <f ca="1">TODAY()-1155</f>
        <v>43066</v>
      </c>
      <c r="D1791" s="10" t="s">
        <v>3378</v>
      </c>
      <c r="E1791" s="12" t="s">
        <v>3378</v>
      </c>
      <c r="F1791" s="16">
        <v>360000</v>
      </c>
    </row>
    <row r="1792" spans="1:6" x14ac:dyDescent="0.2">
      <c r="A1792" s="8" t="s">
        <v>1180</v>
      </c>
      <c r="B1792" s="9">
        <v>28110265043</v>
      </c>
      <c r="C1792" s="10">
        <f ca="1">TODAY()-3356</f>
        <v>40865</v>
      </c>
      <c r="D1792" s="10" t="s">
        <v>3395</v>
      </c>
      <c r="E1792" s="12" t="s">
        <v>3537</v>
      </c>
      <c r="F1792" s="16">
        <v>420000</v>
      </c>
    </row>
    <row r="1793" spans="1:6" x14ac:dyDescent="0.2">
      <c r="A1793" s="8" t="s">
        <v>2013</v>
      </c>
      <c r="B1793" s="9">
        <v>28902164035</v>
      </c>
      <c r="C1793" s="10">
        <f ca="1">TODAY()-2797</f>
        <v>41424</v>
      </c>
      <c r="D1793" s="10" t="s">
        <v>2290</v>
      </c>
      <c r="E1793" s="12" t="s">
        <v>3504</v>
      </c>
      <c r="F1793" s="16">
        <v>360000</v>
      </c>
    </row>
    <row r="1794" spans="1:6" x14ac:dyDescent="0.2">
      <c r="A1794" s="8" t="s">
        <v>613</v>
      </c>
      <c r="B1794" s="9">
        <v>28503025140</v>
      </c>
      <c r="C1794" s="10">
        <f ca="1">TODAY()-2784</f>
        <v>41437</v>
      </c>
      <c r="D1794" s="10" t="s">
        <v>3389</v>
      </c>
      <c r="E1794" s="12" t="s">
        <v>3515</v>
      </c>
      <c r="F1794" s="16">
        <v>365000</v>
      </c>
    </row>
    <row r="1795" spans="1:6" x14ac:dyDescent="0.2">
      <c r="A1795" s="8" t="s">
        <v>1886</v>
      </c>
      <c r="B1795" s="9">
        <v>16609138481</v>
      </c>
      <c r="C1795" s="10">
        <f ca="1">TODAY()-2805</f>
        <v>41416</v>
      </c>
      <c r="D1795" s="10" t="s">
        <v>3387</v>
      </c>
      <c r="E1795" s="12" t="s">
        <v>3523</v>
      </c>
      <c r="F1795" s="16">
        <v>255000</v>
      </c>
    </row>
    <row r="1796" spans="1:6" x14ac:dyDescent="0.2">
      <c r="A1796" s="8" t="s">
        <v>1081</v>
      </c>
      <c r="B1796" s="9">
        <v>18510125606</v>
      </c>
      <c r="C1796" s="10">
        <f ca="1">TODAY()-1829</f>
        <v>42392</v>
      </c>
      <c r="D1796" s="10" t="s">
        <v>3380</v>
      </c>
      <c r="E1796" s="12" t="s">
        <v>3437</v>
      </c>
      <c r="F1796" s="16">
        <v>185000</v>
      </c>
    </row>
    <row r="1797" spans="1:6" x14ac:dyDescent="0.2">
      <c r="A1797" s="8" t="s">
        <v>1889</v>
      </c>
      <c r="B1797" s="9">
        <v>18904193053</v>
      </c>
      <c r="C1797" s="10">
        <f ca="1">TODAY()-3815</f>
        <v>40406</v>
      </c>
      <c r="D1797" s="10" t="s">
        <v>2301</v>
      </c>
      <c r="E1797" s="12" t="s">
        <v>3457</v>
      </c>
      <c r="F1797" s="16">
        <v>395000</v>
      </c>
    </row>
    <row r="1798" spans="1:6" x14ac:dyDescent="0.2">
      <c r="A1798" s="8" t="s">
        <v>1537</v>
      </c>
      <c r="B1798" s="9">
        <v>26009117073</v>
      </c>
      <c r="C1798" s="10">
        <f ca="1">TODAY()-3081</f>
        <v>41140</v>
      </c>
      <c r="D1798" s="10" t="s">
        <v>3400</v>
      </c>
      <c r="E1798" s="12" t="s">
        <v>3555</v>
      </c>
      <c r="F1798" s="16">
        <v>495000</v>
      </c>
    </row>
    <row r="1799" spans="1:6" x14ac:dyDescent="0.2">
      <c r="A1799" s="8" t="s">
        <v>1430</v>
      </c>
      <c r="B1799" s="9">
        <v>17804147975</v>
      </c>
      <c r="C1799" s="10">
        <f ca="1">TODAY()-2911</f>
        <v>41310</v>
      </c>
      <c r="D1799" s="10" t="s">
        <v>2291</v>
      </c>
      <c r="E1799" s="12" t="s">
        <v>3437</v>
      </c>
      <c r="F1799" s="16">
        <v>330000</v>
      </c>
    </row>
    <row r="1800" spans="1:6" x14ac:dyDescent="0.2">
      <c r="A1800" s="8" t="s">
        <v>446</v>
      </c>
      <c r="B1800" s="9">
        <v>17507045425</v>
      </c>
      <c r="C1800" s="10">
        <f ca="1">TODAY()-2182</f>
        <v>42039</v>
      </c>
      <c r="D1800" s="10" t="s">
        <v>2293</v>
      </c>
      <c r="E1800" s="12" t="s">
        <v>3416</v>
      </c>
      <c r="F1800" s="16">
        <v>325000</v>
      </c>
    </row>
    <row r="1801" spans="1:6" x14ac:dyDescent="0.2">
      <c r="A1801" s="8" t="s">
        <v>1858</v>
      </c>
      <c r="B1801" s="9">
        <v>18106111637</v>
      </c>
      <c r="C1801" s="10">
        <f ca="1">TODAY()-629</f>
        <v>43592</v>
      </c>
      <c r="D1801" s="10" t="s">
        <v>2300</v>
      </c>
      <c r="E1801" s="12" t="s">
        <v>3495</v>
      </c>
      <c r="F1801" s="16">
        <v>465000</v>
      </c>
    </row>
    <row r="1802" spans="1:6" x14ac:dyDescent="0.2">
      <c r="A1802" s="8" t="s">
        <v>951</v>
      </c>
      <c r="B1802" s="9">
        <v>17607225308</v>
      </c>
      <c r="C1802" s="10">
        <f ca="1">TODAY()-2113</f>
        <v>42108</v>
      </c>
      <c r="D1802" s="10" t="s">
        <v>2299</v>
      </c>
      <c r="E1802" s="12" t="s">
        <v>3488</v>
      </c>
      <c r="F1802" s="16">
        <v>255000</v>
      </c>
    </row>
    <row r="1803" spans="1:6" x14ac:dyDescent="0.2">
      <c r="A1803" s="8" t="s">
        <v>1662</v>
      </c>
      <c r="B1803" s="9">
        <v>27504158396</v>
      </c>
      <c r="C1803" s="10">
        <f ca="1">TODAY()-2267</f>
        <v>41954</v>
      </c>
      <c r="D1803" s="10" t="s">
        <v>3382</v>
      </c>
      <c r="E1803" s="12" t="s">
        <v>3382</v>
      </c>
      <c r="F1803" s="16">
        <v>425000</v>
      </c>
    </row>
    <row r="1804" spans="1:6" x14ac:dyDescent="0.2">
      <c r="A1804" s="8" t="s">
        <v>664</v>
      </c>
      <c r="B1804" s="9">
        <v>17705231150</v>
      </c>
      <c r="C1804" s="10">
        <f ca="1">TODAY()-2855</f>
        <v>41366</v>
      </c>
      <c r="D1804" s="10" t="s">
        <v>2291</v>
      </c>
      <c r="E1804" s="12" t="s">
        <v>2291</v>
      </c>
      <c r="F1804" s="16">
        <v>290000</v>
      </c>
    </row>
    <row r="1805" spans="1:6" x14ac:dyDescent="0.2">
      <c r="A1805" s="8" t="s">
        <v>1381</v>
      </c>
      <c r="B1805" s="9">
        <v>18212153286</v>
      </c>
      <c r="C1805" s="10">
        <f ca="1">TODAY()-129</f>
        <v>44092</v>
      </c>
      <c r="D1805" s="10" t="s">
        <v>3383</v>
      </c>
      <c r="E1805" s="12" t="s">
        <v>3548</v>
      </c>
      <c r="F1805" s="16">
        <v>240000</v>
      </c>
    </row>
    <row r="1806" spans="1:6" x14ac:dyDescent="0.2">
      <c r="A1806" s="8" t="s">
        <v>613</v>
      </c>
      <c r="B1806" s="9">
        <v>26103073312</v>
      </c>
      <c r="C1806" s="10">
        <f ca="1">TODAY()-1633</f>
        <v>42588</v>
      </c>
      <c r="D1806" s="10" t="s">
        <v>3383</v>
      </c>
      <c r="E1806" s="12" t="s">
        <v>3444</v>
      </c>
      <c r="F1806" s="16">
        <v>300000</v>
      </c>
    </row>
    <row r="1807" spans="1:6" x14ac:dyDescent="0.2">
      <c r="A1807" s="8" t="s">
        <v>1337</v>
      </c>
      <c r="B1807" s="9">
        <v>17312224643</v>
      </c>
      <c r="C1807" s="10">
        <f ca="1">TODAY()-21</f>
        <v>44200</v>
      </c>
      <c r="D1807" s="10" t="s">
        <v>3388</v>
      </c>
      <c r="E1807" s="12" t="s">
        <v>3538</v>
      </c>
      <c r="F1807" s="16">
        <v>270000</v>
      </c>
    </row>
    <row r="1808" spans="1:6" x14ac:dyDescent="0.2">
      <c r="A1808" s="8" t="s">
        <v>2108</v>
      </c>
      <c r="B1808" s="9">
        <v>17204156537</v>
      </c>
      <c r="C1808" s="10">
        <f ca="1">TODAY()-2907</f>
        <v>41314</v>
      </c>
      <c r="D1808" s="10" t="s">
        <v>3385</v>
      </c>
      <c r="E1808" s="12" t="s">
        <v>3498</v>
      </c>
      <c r="F1808" s="16">
        <v>470000</v>
      </c>
    </row>
    <row r="1809" spans="1:6" x14ac:dyDescent="0.2">
      <c r="A1809" s="8" t="s">
        <v>520</v>
      </c>
      <c r="B1809" s="9">
        <v>17808272168</v>
      </c>
      <c r="C1809" s="10">
        <f ca="1">TODAY()-600</f>
        <v>43621</v>
      </c>
      <c r="D1809" s="10" t="s">
        <v>3386</v>
      </c>
      <c r="E1809" s="12" t="s">
        <v>3558</v>
      </c>
      <c r="F1809" s="16">
        <v>230000</v>
      </c>
    </row>
    <row r="1810" spans="1:6" x14ac:dyDescent="0.2">
      <c r="A1810" s="8" t="s">
        <v>1124</v>
      </c>
      <c r="B1810" s="9">
        <v>28706159245</v>
      </c>
      <c r="C1810" s="10">
        <f ca="1">TODAY()-1804</f>
        <v>42417</v>
      </c>
      <c r="D1810" s="10" t="s">
        <v>3383</v>
      </c>
      <c r="E1810" s="12" t="s">
        <v>3413</v>
      </c>
      <c r="F1810" s="16">
        <v>475000</v>
      </c>
    </row>
    <row r="1811" spans="1:6" x14ac:dyDescent="0.2">
      <c r="A1811" s="8" t="s">
        <v>507</v>
      </c>
      <c r="B1811" s="9">
        <v>26001259157</v>
      </c>
      <c r="C1811" s="10">
        <f ca="1">TODAY()-145</f>
        <v>44076</v>
      </c>
      <c r="D1811" s="10" t="s">
        <v>3396</v>
      </c>
      <c r="E1811" s="12" t="s">
        <v>3515</v>
      </c>
      <c r="F1811" s="16">
        <v>470000</v>
      </c>
    </row>
    <row r="1812" spans="1:6" x14ac:dyDescent="0.2">
      <c r="A1812" s="8" t="s">
        <v>2223</v>
      </c>
      <c r="B1812" s="9">
        <v>18101108052</v>
      </c>
      <c r="C1812" s="10">
        <f ca="1">TODAY()-949</f>
        <v>43272</v>
      </c>
      <c r="D1812" s="10" t="s">
        <v>3393</v>
      </c>
      <c r="E1812" s="12" t="s">
        <v>3393</v>
      </c>
      <c r="F1812" s="16">
        <v>180000</v>
      </c>
    </row>
    <row r="1813" spans="1:6" x14ac:dyDescent="0.2">
      <c r="A1813" s="8" t="s">
        <v>650</v>
      </c>
      <c r="B1813" s="9">
        <v>17109258413</v>
      </c>
      <c r="C1813" s="10">
        <f ca="1">TODAY()-563</f>
        <v>43658</v>
      </c>
      <c r="D1813" s="10" t="s">
        <v>3380</v>
      </c>
      <c r="E1813" s="12" t="s">
        <v>3494</v>
      </c>
      <c r="F1813" s="16">
        <v>390000</v>
      </c>
    </row>
    <row r="1814" spans="1:6" x14ac:dyDescent="0.2">
      <c r="A1814" s="8" t="s">
        <v>1090</v>
      </c>
      <c r="B1814" s="9">
        <v>17303108583</v>
      </c>
      <c r="C1814" s="10">
        <f ca="1">TODAY()-30</f>
        <v>44191</v>
      </c>
      <c r="D1814" s="10" t="s">
        <v>2289</v>
      </c>
      <c r="E1814" s="12" t="s">
        <v>3480</v>
      </c>
      <c r="F1814" s="16">
        <v>375000</v>
      </c>
    </row>
    <row r="1815" spans="1:6" x14ac:dyDescent="0.2">
      <c r="A1815" s="8" t="s">
        <v>986</v>
      </c>
      <c r="B1815" s="9">
        <v>27607211833</v>
      </c>
      <c r="C1815" s="10">
        <f ca="1">TODAY()-732</f>
        <v>43489</v>
      </c>
      <c r="D1815" s="10" t="s">
        <v>2297</v>
      </c>
      <c r="E1815" s="12" t="s">
        <v>2297</v>
      </c>
      <c r="F1815" s="16">
        <v>445000</v>
      </c>
    </row>
    <row r="1816" spans="1:6" x14ac:dyDescent="0.2">
      <c r="A1816" s="8" t="s">
        <v>689</v>
      </c>
      <c r="B1816" s="9">
        <v>16006237336</v>
      </c>
      <c r="C1816" s="10">
        <f ca="1">TODAY()-4069</f>
        <v>40152</v>
      </c>
      <c r="D1816" s="10" t="s">
        <v>3399</v>
      </c>
      <c r="E1816" s="12" t="s">
        <v>3406</v>
      </c>
      <c r="F1816" s="16">
        <v>215000</v>
      </c>
    </row>
    <row r="1817" spans="1:6" x14ac:dyDescent="0.2">
      <c r="A1817" s="8" t="s">
        <v>2124</v>
      </c>
      <c r="B1817" s="9">
        <v>27701273004</v>
      </c>
      <c r="C1817" s="10">
        <f ca="1">TODAY()-4115</f>
        <v>40106</v>
      </c>
      <c r="D1817" s="10" t="s">
        <v>3389</v>
      </c>
      <c r="E1817" s="12" t="s">
        <v>3428</v>
      </c>
      <c r="F1817" s="16">
        <v>445000</v>
      </c>
    </row>
    <row r="1818" spans="1:6" x14ac:dyDescent="0.2">
      <c r="A1818" s="8" t="s">
        <v>593</v>
      </c>
      <c r="B1818" s="9">
        <v>19011274177</v>
      </c>
      <c r="C1818" s="10">
        <f ca="1">TODAY()-3481</f>
        <v>40740</v>
      </c>
      <c r="D1818" s="10" t="s">
        <v>3398</v>
      </c>
      <c r="E1818" s="12" t="s">
        <v>3508</v>
      </c>
      <c r="F1818" s="16">
        <v>260000</v>
      </c>
    </row>
    <row r="1819" spans="1:6" x14ac:dyDescent="0.2">
      <c r="A1819" s="8" t="s">
        <v>651</v>
      </c>
      <c r="B1819" s="9">
        <v>26004247653</v>
      </c>
      <c r="C1819" s="10">
        <f ca="1">TODAY()-2687</f>
        <v>41534</v>
      </c>
      <c r="D1819" s="10" t="s">
        <v>2302</v>
      </c>
      <c r="E1819" s="12" t="s">
        <v>3543</v>
      </c>
      <c r="F1819" s="16">
        <v>240000</v>
      </c>
    </row>
    <row r="1820" spans="1:6" x14ac:dyDescent="0.2">
      <c r="A1820" s="8" t="s">
        <v>632</v>
      </c>
      <c r="B1820" s="9">
        <v>28711087580</v>
      </c>
      <c r="C1820" s="10">
        <f ca="1">TODAY()-1861</f>
        <v>42360</v>
      </c>
      <c r="D1820" s="10" t="s">
        <v>2288</v>
      </c>
      <c r="E1820" s="12" t="s">
        <v>3455</v>
      </c>
      <c r="F1820" s="16">
        <v>290000</v>
      </c>
    </row>
    <row r="1821" spans="1:6" x14ac:dyDescent="0.2">
      <c r="A1821" s="8" t="s">
        <v>1768</v>
      </c>
      <c r="B1821" s="9">
        <v>18103178801</v>
      </c>
      <c r="C1821" s="10">
        <f ca="1">TODAY()-3688</f>
        <v>40533</v>
      </c>
      <c r="D1821" s="10" t="s">
        <v>3390</v>
      </c>
      <c r="E1821" s="12" t="s">
        <v>3527</v>
      </c>
      <c r="F1821" s="16">
        <v>305000</v>
      </c>
    </row>
    <row r="1822" spans="1:6" x14ac:dyDescent="0.2">
      <c r="A1822" s="8" t="s">
        <v>2279</v>
      </c>
      <c r="B1822" s="9">
        <v>18912282235</v>
      </c>
      <c r="C1822" s="10">
        <f ca="1">TODAY()-3414</f>
        <v>40807</v>
      </c>
      <c r="D1822" s="10" t="s">
        <v>2294</v>
      </c>
      <c r="E1822" s="12" t="s">
        <v>2294</v>
      </c>
      <c r="F1822" s="16">
        <v>390000</v>
      </c>
    </row>
    <row r="1823" spans="1:6" x14ac:dyDescent="0.2">
      <c r="A1823" s="8" t="s">
        <v>1313</v>
      </c>
      <c r="B1823" s="9">
        <v>17410198166</v>
      </c>
      <c r="C1823" s="10">
        <f ca="1">TODAY()-1546</f>
        <v>42675</v>
      </c>
      <c r="D1823" s="10" t="s">
        <v>3393</v>
      </c>
      <c r="E1823" s="12" t="s">
        <v>3564</v>
      </c>
      <c r="F1823" s="16">
        <v>295000</v>
      </c>
    </row>
    <row r="1824" spans="1:6" x14ac:dyDescent="0.2">
      <c r="A1824" s="8" t="s">
        <v>1323</v>
      </c>
      <c r="B1824" s="9">
        <v>17907153732</v>
      </c>
      <c r="C1824" s="10">
        <f ca="1">TODAY()-4139</f>
        <v>40082</v>
      </c>
      <c r="D1824" s="10" t="s">
        <v>2287</v>
      </c>
      <c r="E1824" s="12" t="s">
        <v>3465</v>
      </c>
      <c r="F1824" s="16">
        <v>230000</v>
      </c>
    </row>
    <row r="1825" spans="1:6" x14ac:dyDescent="0.2">
      <c r="A1825" s="8" t="s">
        <v>1429</v>
      </c>
      <c r="B1825" s="9">
        <v>27404115658</v>
      </c>
      <c r="C1825" s="10">
        <f ca="1">TODAY()-2049</f>
        <v>42172</v>
      </c>
      <c r="D1825" s="10" t="s">
        <v>2284</v>
      </c>
      <c r="E1825" s="12" t="s">
        <v>2284</v>
      </c>
      <c r="F1825" s="16">
        <v>205000</v>
      </c>
    </row>
    <row r="1826" spans="1:6" x14ac:dyDescent="0.2">
      <c r="A1826" s="8" t="s">
        <v>1550</v>
      </c>
      <c r="B1826" s="9">
        <v>16709076842</v>
      </c>
      <c r="C1826" s="10">
        <f ca="1">TODAY()-4835</f>
        <v>39386</v>
      </c>
      <c r="D1826" s="10" t="s">
        <v>3402</v>
      </c>
      <c r="E1826" s="12" t="s">
        <v>3480</v>
      </c>
      <c r="F1826" s="16">
        <v>345000</v>
      </c>
    </row>
    <row r="1827" spans="1:6" x14ac:dyDescent="0.2">
      <c r="A1827" s="8" t="s">
        <v>2273</v>
      </c>
      <c r="B1827" s="9">
        <v>16504228689</v>
      </c>
      <c r="C1827" s="10">
        <f ca="1">TODAY()-600</f>
        <v>43621</v>
      </c>
      <c r="D1827" s="10" t="s">
        <v>2300</v>
      </c>
      <c r="E1827" s="12" t="s">
        <v>2300</v>
      </c>
      <c r="F1827" s="16">
        <v>300000</v>
      </c>
    </row>
    <row r="1828" spans="1:6" x14ac:dyDescent="0.2">
      <c r="A1828" s="8" t="s">
        <v>645</v>
      </c>
      <c r="B1828" s="9">
        <v>16707196641</v>
      </c>
      <c r="C1828" s="10">
        <f ca="1">TODAY()-3115</f>
        <v>41106</v>
      </c>
      <c r="D1828" s="10" t="s">
        <v>2299</v>
      </c>
      <c r="E1828" s="12" t="s">
        <v>2299</v>
      </c>
      <c r="F1828" s="16">
        <v>285000</v>
      </c>
    </row>
    <row r="1829" spans="1:6" x14ac:dyDescent="0.2">
      <c r="A1829" s="8" t="s">
        <v>885</v>
      </c>
      <c r="B1829" s="9">
        <v>18710094574</v>
      </c>
      <c r="C1829" s="10">
        <f ca="1">TODAY()-1762</f>
        <v>42459</v>
      </c>
      <c r="D1829" s="10" t="s">
        <v>2303</v>
      </c>
      <c r="E1829" s="12" t="s">
        <v>3499</v>
      </c>
      <c r="F1829" s="16">
        <v>405000</v>
      </c>
    </row>
    <row r="1830" spans="1:6" x14ac:dyDescent="0.2">
      <c r="A1830" s="8" t="s">
        <v>1536</v>
      </c>
      <c r="B1830" s="9">
        <v>16905255441</v>
      </c>
      <c r="C1830" s="10">
        <f ca="1">TODAY()-3144</f>
        <v>41077</v>
      </c>
      <c r="D1830" s="10" t="s">
        <v>3394</v>
      </c>
      <c r="E1830" s="12" t="s">
        <v>3553</v>
      </c>
      <c r="F1830" s="16">
        <v>330000</v>
      </c>
    </row>
    <row r="1831" spans="1:6" x14ac:dyDescent="0.2">
      <c r="A1831" s="8" t="s">
        <v>487</v>
      </c>
      <c r="B1831" s="9">
        <v>17309083412</v>
      </c>
      <c r="C1831" s="10">
        <f ca="1">TODAY()-4985</f>
        <v>39236</v>
      </c>
      <c r="D1831" s="10" t="s">
        <v>2292</v>
      </c>
      <c r="E1831" s="12" t="s">
        <v>2292</v>
      </c>
      <c r="F1831" s="16">
        <v>200000</v>
      </c>
    </row>
    <row r="1832" spans="1:6" x14ac:dyDescent="0.2">
      <c r="A1832" s="8" t="s">
        <v>1966</v>
      </c>
      <c r="B1832" s="9">
        <v>16302231234</v>
      </c>
      <c r="C1832" s="10">
        <f ca="1">TODAY()-2444</f>
        <v>41777</v>
      </c>
      <c r="D1832" s="10" t="s">
        <v>2290</v>
      </c>
      <c r="E1832" s="12" t="s">
        <v>3481</v>
      </c>
      <c r="F1832" s="16">
        <v>320000</v>
      </c>
    </row>
    <row r="1833" spans="1:6" x14ac:dyDescent="0.2">
      <c r="A1833" s="8" t="s">
        <v>1495</v>
      </c>
      <c r="B1833" s="9">
        <v>17610265117</v>
      </c>
      <c r="C1833" s="10">
        <f ca="1">TODAY()-672</f>
        <v>43549</v>
      </c>
      <c r="D1833" s="10" t="s">
        <v>2297</v>
      </c>
      <c r="E1833" s="12" t="s">
        <v>3515</v>
      </c>
      <c r="F1833" s="16">
        <v>280000</v>
      </c>
    </row>
    <row r="1834" spans="1:6" x14ac:dyDescent="0.2">
      <c r="A1834" s="8" t="s">
        <v>550</v>
      </c>
      <c r="B1834" s="9">
        <v>16206052029</v>
      </c>
      <c r="C1834" s="10">
        <f ca="1">TODAY()-2557</f>
        <v>41664</v>
      </c>
      <c r="D1834" s="10" t="s">
        <v>3391</v>
      </c>
      <c r="E1834" s="12" t="s">
        <v>3546</v>
      </c>
      <c r="F1834" s="16">
        <v>245000</v>
      </c>
    </row>
    <row r="1835" spans="1:6" x14ac:dyDescent="0.2">
      <c r="A1835" s="8" t="s">
        <v>1750</v>
      </c>
      <c r="B1835" s="9">
        <v>27004025790</v>
      </c>
      <c r="C1835" s="10">
        <f ca="1">TODAY()-2622</f>
        <v>41599</v>
      </c>
      <c r="D1835" s="10" t="s">
        <v>2291</v>
      </c>
      <c r="E1835" s="12" t="s">
        <v>2291</v>
      </c>
      <c r="F1835" s="16">
        <v>350000</v>
      </c>
    </row>
    <row r="1836" spans="1:6" x14ac:dyDescent="0.2">
      <c r="A1836" s="8" t="s">
        <v>1411</v>
      </c>
      <c r="B1836" s="9">
        <v>26006251439</v>
      </c>
      <c r="C1836" s="10">
        <f ca="1">TODAY()-3685</f>
        <v>40536</v>
      </c>
      <c r="D1836" s="10" t="s">
        <v>3398</v>
      </c>
      <c r="E1836" s="12" t="s">
        <v>3563</v>
      </c>
      <c r="F1836" s="16">
        <v>425000</v>
      </c>
    </row>
    <row r="1837" spans="1:6" x14ac:dyDescent="0.2">
      <c r="A1837" s="8" t="s">
        <v>892</v>
      </c>
      <c r="B1837" s="9">
        <v>27407186314</v>
      </c>
      <c r="C1837" s="10">
        <f ca="1">TODAY()-2671</f>
        <v>41550</v>
      </c>
      <c r="D1837" s="10" t="s">
        <v>3394</v>
      </c>
      <c r="E1837" s="12" t="s">
        <v>3394</v>
      </c>
      <c r="F1837" s="16">
        <v>345000</v>
      </c>
    </row>
    <row r="1838" spans="1:6" x14ac:dyDescent="0.2">
      <c r="A1838" s="8" t="s">
        <v>427</v>
      </c>
      <c r="B1838" s="9">
        <v>18011182471</v>
      </c>
      <c r="C1838" s="10">
        <f ca="1">TODAY()-1528</f>
        <v>42693</v>
      </c>
      <c r="D1838" s="10" t="s">
        <v>3385</v>
      </c>
      <c r="E1838" s="12" t="s">
        <v>3545</v>
      </c>
      <c r="F1838" s="16">
        <v>405000</v>
      </c>
    </row>
    <row r="1839" spans="1:6" x14ac:dyDescent="0.2">
      <c r="A1839" s="8" t="s">
        <v>458</v>
      </c>
      <c r="B1839" s="9">
        <v>28803093317</v>
      </c>
      <c r="C1839" s="10">
        <f ca="1">TODAY()-2233</f>
        <v>41988</v>
      </c>
      <c r="D1839" s="10" t="s">
        <v>2290</v>
      </c>
      <c r="E1839" s="12" t="s">
        <v>3496</v>
      </c>
      <c r="F1839" s="16">
        <v>435000</v>
      </c>
    </row>
    <row r="1840" spans="1:6" x14ac:dyDescent="0.2">
      <c r="A1840" s="8" t="s">
        <v>2229</v>
      </c>
      <c r="B1840" s="9">
        <v>17310041323</v>
      </c>
      <c r="C1840" s="10">
        <f ca="1">TODAY()-4554</f>
        <v>39667</v>
      </c>
      <c r="D1840" s="10" t="s">
        <v>2303</v>
      </c>
      <c r="E1840" s="12" t="s">
        <v>3539</v>
      </c>
      <c r="F1840" s="16">
        <v>465000</v>
      </c>
    </row>
    <row r="1841" spans="1:6" x14ac:dyDescent="0.2">
      <c r="A1841" s="8" t="s">
        <v>644</v>
      </c>
      <c r="B1841" s="9">
        <v>26208227807</v>
      </c>
      <c r="C1841" s="10">
        <f ca="1">TODAY()-3972</f>
        <v>40249</v>
      </c>
      <c r="D1841" s="10" t="s">
        <v>3380</v>
      </c>
      <c r="E1841" s="12" t="s">
        <v>3492</v>
      </c>
      <c r="F1841" s="16">
        <v>180000</v>
      </c>
    </row>
    <row r="1842" spans="1:6" x14ac:dyDescent="0.2">
      <c r="A1842" s="8" t="s">
        <v>2039</v>
      </c>
      <c r="B1842" s="9">
        <v>17204062598</v>
      </c>
      <c r="C1842" s="10">
        <f ca="1">TODAY()-3814</f>
        <v>40407</v>
      </c>
      <c r="D1842" s="10" t="s">
        <v>3400</v>
      </c>
      <c r="E1842" s="12" t="s">
        <v>3548</v>
      </c>
      <c r="F1842" s="16">
        <v>335000</v>
      </c>
    </row>
    <row r="1843" spans="1:6" x14ac:dyDescent="0.2">
      <c r="A1843" s="8" t="s">
        <v>1004</v>
      </c>
      <c r="B1843" s="9">
        <v>16708033204</v>
      </c>
      <c r="C1843" s="10">
        <f ca="1">TODAY()-2806</f>
        <v>41415</v>
      </c>
      <c r="D1843" s="10" t="s">
        <v>2300</v>
      </c>
      <c r="E1843" s="12" t="s">
        <v>2300</v>
      </c>
      <c r="F1843" s="16">
        <v>460000</v>
      </c>
    </row>
    <row r="1844" spans="1:6" x14ac:dyDescent="0.2">
      <c r="A1844" s="8" t="s">
        <v>621</v>
      </c>
      <c r="B1844" s="9">
        <v>26608238017</v>
      </c>
      <c r="C1844" s="10">
        <f ca="1">TODAY()-2228</f>
        <v>41993</v>
      </c>
      <c r="D1844" s="10" t="s">
        <v>2300</v>
      </c>
      <c r="E1844" s="12" t="s">
        <v>2300</v>
      </c>
      <c r="F1844" s="16">
        <v>195000</v>
      </c>
    </row>
    <row r="1845" spans="1:6" x14ac:dyDescent="0.2">
      <c r="A1845" s="8" t="s">
        <v>652</v>
      </c>
      <c r="B1845" s="9">
        <v>16011081484</v>
      </c>
      <c r="C1845" s="10">
        <f ca="1">TODAY()-1515</f>
        <v>42706</v>
      </c>
      <c r="D1845" s="10" t="s">
        <v>3383</v>
      </c>
      <c r="E1845" s="12" t="s">
        <v>3475</v>
      </c>
      <c r="F1845" s="16">
        <v>335000</v>
      </c>
    </row>
    <row r="1846" spans="1:6" x14ac:dyDescent="0.2">
      <c r="A1846" s="8" t="s">
        <v>1008</v>
      </c>
      <c r="B1846" s="9">
        <v>26101166326</v>
      </c>
      <c r="C1846" s="10">
        <f ca="1">TODAY()-181</f>
        <v>44040</v>
      </c>
      <c r="D1846" s="10" t="s">
        <v>2297</v>
      </c>
      <c r="E1846" s="12" t="s">
        <v>3487</v>
      </c>
      <c r="F1846" s="16">
        <v>430000</v>
      </c>
    </row>
    <row r="1847" spans="1:6" x14ac:dyDescent="0.2">
      <c r="A1847" s="8" t="s">
        <v>1927</v>
      </c>
      <c r="B1847" s="9">
        <v>16110139162</v>
      </c>
      <c r="C1847" s="10">
        <f ca="1">TODAY()-1151</f>
        <v>43070</v>
      </c>
      <c r="D1847" s="10" t="s">
        <v>2304</v>
      </c>
      <c r="E1847" s="12" t="s">
        <v>3471</v>
      </c>
      <c r="F1847" s="16">
        <v>285000</v>
      </c>
    </row>
    <row r="1848" spans="1:6" x14ac:dyDescent="0.2">
      <c r="A1848" s="8" t="s">
        <v>1215</v>
      </c>
      <c r="B1848" s="9">
        <v>26710217724</v>
      </c>
      <c r="C1848" s="10">
        <f ca="1">TODAY()-118</f>
        <v>44103</v>
      </c>
      <c r="D1848" s="10" t="s">
        <v>2298</v>
      </c>
      <c r="E1848" s="12" t="s">
        <v>3464</v>
      </c>
      <c r="F1848" s="16">
        <v>415000</v>
      </c>
    </row>
    <row r="1849" spans="1:6" x14ac:dyDescent="0.2">
      <c r="A1849" s="8" t="s">
        <v>1935</v>
      </c>
      <c r="B1849" s="9">
        <v>16309081237</v>
      </c>
      <c r="C1849" s="10">
        <f ca="1">TODAY()-1973</f>
        <v>42248</v>
      </c>
      <c r="D1849" s="10" t="s">
        <v>3392</v>
      </c>
      <c r="E1849" s="12" t="s">
        <v>3557</v>
      </c>
      <c r="F1849" s="16">
        <v>295000</v>
      </c>
    </row>
    <row r="1850" spans="1:6" x14ac:dyDescent="0.2">
      <c r="A1850" s="8" t="s">
        <v>2245</v>
      </c>
      <c r="B1850" s="9">
        <v>18103247878</v>
      </c>
      <c r="C1850" s="10">
        <f ca="1">TODAY()-2316</f>
        <v>41905</v>
      </c>
      <c r="D1850" s="10" t="s">
        <v>2304</v>
      </c>
      <c r="E1850" s="12" t="s">
        <v>3490</v>
      </c>
      <c r="F1850" s="16">
        <v>270000</v>
      </c>
    </row>
    <row r="1851" spans="1:6" x14ac:dyDescent="0.2">
      <c r="A1851" s="8" t="s">
        <v>1501</v>
      </c>
      <c r="B1851" s="9">
        <v>17203154051</v>
      </c>
      <c r="C1851" s="10">
        <f ca="1">TODAY()-2292</f>
        <v>41929</v>
      </c>
      <c r="D1851" s="10" t="s">
        <v>2299</v>
      </c>
      <c r="E1851" s="12" t="s">
        <v>3548</v>
      </c>
      <c r="F1851" s="16">
        <v>455000</v>
      </c>
    </row>
    <row r="1852" spans="1:6" x14ac:dyDescent="0.2">
      <c r="A1852" s="8" t="s">
        <v>1581</v>
      </c>
      <c r="B1852" s="9">
        <v>26306161536</v>
      </c>
      <c r="C1852" s="10">
        <f ca="1">TODAY()-3706</f>
        <v>40515</v>
      </c>
      <c r="D1852" s="10" t="s">
        <v>3378</v>
      </c>
      <c r="E1852" s="12" t="s">
        <v>3482</v>
      </c>
      <c r="F1852" s="16">
        <v>300000</v>
      </c>
    </row>
    <row r="1853" spans="1:6" x14ac:dyDescent="0.2">
      <c r="A1853" s="8" t="s">
        <v>1467</v>
      </c>
      <c r="B1853" s="9">
        <v>17102154817</v>
      </c>
      <c r="C1853" s="10">
        <f ca="1">TODAY()-4114</f>
        <v>40107</v>
      </c>
      <c r="D1853" s="10" t="s">
        <v>3395</v>
      </c>
      <c r="E1853" s="12" t="s">
        <v>3489</v>
      </c>
      <c r="F1853" s="16">
        <v>290000</v>
      </c>
    </row>
    <row r="1854" spans="1:6" x14ac:dyDescent="0.2">
      <c r="A1854" s="8" t="s">
        <v>1815</v>
      </c>
      <c r="B1854" s="9">
        <v>17306073908</v>
      </c>
      <c r="C1854" s="10">
        <f ca="1">TODAY()-4906</f>
        <v>39315</v>
      </c>
      <c r="D1854" s="10" t="s">
        <v>3400</v>
      </c>
      <c r="E1854" s="12" t="s">
        <v>3426</v>
      </c>
      <c r="F1854" s="16">
        <v>280000</v>
      </c>
    </row>
    <row r="1855" spans="1:6" x14ac:dyDescent="0.2">
      <c r="A1855" s="8" t="s">
        <v>649</v>
      </c>
      <c r="B1855" s="9">
        <v>26003174962</v>
      </c>
      <c r="C1855" s="10">
        <f ca="1">TODAY()-1102</f>
        <v>43119</v>
      </c>
      <c r="D1855" s="10" t="s">
        <v>2297</v>
      </c>
      <c r="E1855" s="12" t="s">
        <v>3549</v>
      </c>
      <c r="F1855" s="16">
        <v>250000</v>
      </c>
    </row>
    <row r="1856" spans="1:6" x14ac:dyDescent="0.2">
      <c r="A1856" s="8" t="s">
        <v>1739</v>
      </c>
      <c r="B1856" s="9">
        <v>27708288870</v>
      </c>
      <c r="C1856" s="10">
        <f ca="1">TODAY()-2691</f>
        <v>41530</v>
      </c>
      <c r="D1856" s="10" t="s">
        <v>2286</v>
      </c>
      <c r="E1856" s="12" t="s">
        <v>3411</v>
      </c>
      <c r="F1856" s="16">
        <v>400000</v>
      </c>
    </row>
    <row r="1857" spans="1:6" x14ac:dyDescent="0.2">
      <c r="A1857" s="8" t="s">
        <v>592</v>
      </c>
      <c r="B1857" s="9">
        <v>28805127706</v>
      </c>
      <c r="C1857" s="10">
        <f ca="1">TODAY()-2731</f>
        <v>41490</v>
      </c>
      <c r="D1857" s="10" t="s">
        <v>2287</v>
      </c>
      <c r="E1857" s="12" t="s">
        <v>3408</v>
      </c>
      <c r="F1857" s="16">
        <v>335000</v>
      </c>
    </row>
    <row r="1858" spans="1:6" x14ac:dyDescent="0.2">
      <c r="A1858" s="8" t="s">
        <v>1665</v>
      </c>
      <c r="B1858" s="9">
        <v>17709166845</v>
      </c>
      <c r="C1858" s="10">
        <f ca="1">TODAY()-1905</f>
        <v>42316</v>
      </c>
      <c r="D1858" s="10" t="s">
        <v>2300</v>
      </c>
      <c r="E1858" s="12" t="s">
        <v>3530</v>
      </c>
      <c r="F1858" s="16">
        <v>355000</v>
      </c>
    </row>
    <row r="1859" spans="1:6" x14ac:dyDescent="0.2">
      <c r="A1859" s="8" t="s">
        <v>1602</v>
      </c>
      <c r="B1859" s="9">
        <v>18207176900</v>
      </c>
      <c r="C1859" s="10">
        <f ca="1">TODAY()-1477</f>
        <v>42744</v>
      </c>
      <c r="D1859" s="10" t="s">
        <v>3400</v>
      </c>
      <c r="E1859" s="12" t="s">
        <v>3520</v>
      </c>
      <c r="F1859" s="16">
        <v>285000</v>
      </c>
    </row>
    <row r="1860" spans="1:6" x14ac:dyDescent="0.2">
      <c r="A1860" s="8" t="s">
        <v>2012</v>
      </c>
      <c r="B1860" s="9">
        <v>18504165611</v>
      </c>
      <c r="C1860" s="10">
        <f ca="1">TODAY()-1788</f>
        <v>42433</v>
      </c>
      <c r="D1860" s="10" t="s">
        <v>3393</v>
      </c>
      <c r="E1860" s="12" t="s">
        <v>3428</v>
      </c>
      <c r="F1860" s="16">
        <v>230000</v>
      </c>
    </row>
    <row r="1861" spans="1:6" x14ac:dyDescent="0.2">
      <c r="A1861" s="8" t="s">
        <v>1574</v>
      </c>
      <c r="B1861" s="9">
        <v>17303238803</v>
      </c>
      <c r="C1861" s="10">
        <f ca="1">TODAY()-4784</f>
        <v>39437</v>
      </c>
      <c r="D1861" s="10" t="s">
        <v>2297</v>
      </c>
      <c r="E1861" s="12" t="s">
        <v>3415</v>
      </c>
      <c r="F1861" s="16">
        <v>375000</v>
      </c>
    </row>
    <row r="1862" spans="1:6" x14ac:dyDescent="0.2">
      <c r="A1862" s="8" t="s">
        <v>1103</v>
      </c>
      <c r="B1862" s="9">
        <v>18511129839</v>
      </c>
      <c r="C1862" s="10">
        <f ca="1">TODAY()-1174</f>
        <v>43047</v>
      </c>
      <c r="D1862" s="10" t="s">
        <v>3401</v>
      </c>
      <c r="E1862" s="12" t="s">
        <v>3446</v>
      </c>
      <c r="F1862" s="16">
        <v>285000</v>
      </c>
    </row>
    <row r="1863" spans="1:6" x14ac:dyDescent="0.2">
      <c r="A1863" s="8" t="s">
        <v>2014</v>
      </c>
      <c r="B1863" s="9">
        <v>26103052672</v>
      </c>
      <c r="C1863" s="10">
        <f ca="1">TODAY()-213</f>
        <v>44008</v>
      </c>
      <c r="D1863" s="10" t="s">
        <v>3395</v>
      </c>
      <c r="E1863" s="12" t="s">
        <v>3479</v>
      </c>
      <c r="F1863" s="16">
        <v>275000</v>
      </c>
    </row>
    <row r="1864" spans="1:6" x14ac:dyDescent="0.2">
      <c r="A1864" s="8" t="s">
        <v>1995</v>
      </c>
      <c r="B1864" s="9">
        <v>16707116336</v>
      </c>
      <c r="C1864" s="10">
        <f ca="1">TODAY()-436</f>
        <v>43785</v>
      </c>
      <c r="D1864" s="10" t="s">
        <v>2284</v>
      </c>
      <c r="E1864" s="12" t="s">
        <v>3554</v>
      </c>
      <c r="F1864" s="16">
        <v>390000</v>
      </c>
    </row>
    <row r="1865" spans="1:6" x14ac:dyDescent="0.2">
      <c r="A1865" s="8" t="s">
        <v>1630</v>
      </c>
      <c r="B1865" s="9">
        <v>28201022981</v>
      </c>
      <c r="C1865" s="10">
        <f ca="1">TODAY()-4884</f>
        <v>39337</v>
      </c>
      <c r="D1865" s="10" t="s">
        <v>3384</v>
      </c>
      <c r="E1865" s="12" t="s">
        <v>3554</v>
      </c>
      <c r="F1865" s="16">
        <v>210000</v>
      </c>
    </row>
    <row r="1866" spans="1:6" x14ac:dyDescent="0.2">
      <c r="A1866" s="8" t="s">
        <v>920</v>
      </c>
      <c r="B1866" s="9">
        <v>18105156777</v>
      </c>
      <c r="C1866" s="10">
        <f ca="1">TODAY()-2765</f>
        <v>41456</v>
      </c>
      <c r="D1866" s="10" t="s">
        <v>2288</v>
      </c>
      <c r="E1866" s="12" t="s">
        <v>3413</v>
      </c>
      <c r="F1866" s="16">
        <v>460000</v>
      </c>
    </row>
    <row r="1867" spans="1:6" x14ac:dyDescent="0.2">
      <c r="A1867" s="8" t="s">
        <v>1045</v>
      </c>
      <c r="B1867" s="9">
        <v>27808162452</v>
      </c>
      <c r="C1867" s="10">
        <f ca="1">TODAY()-1454</f>
        <v>42767</v>
      </c>
      <c r="D1867" s="10" t="s">
        <v>2290</v>
      </c>
      <c r="E1867" s="12" t="s">
        <v>3403</v>
      </c>
      <c r="F1867" s="16">
        <v>360000</v>
      </c>
    </row>
    <row r="1868" spans="1:6" x14ac:dyDescent="0.2">
      <c r="A1868" s="8" t="s">
        <v>1333</v>
      </c>
      <c r="B1868" s="9">
        <v>27703035455</v>
      </c>
      <c r="C1868" s="10">
        <f ca="1">TODAY()-4564</f>
        <v>39657</v>
      </c>
      <c r="D1868" s="10" t="s">
        <v>2304</v>
      </c>
      <c r="E1868" s="12" t="s">
        <v>3507</v>
      </c>
      <c r="F1868" s="16">
        <v>360000</v>
      </c>
    </row>
    <row r="1869" spans="1:6" x14ac:dyDescent="0.2">
      <c r="A1869" s="8" t="s">
        <v>1435</v>
      </c>
      <c r="B1869" s="9">
        <v>17603113386</v>
      </c>
      <c r="C1869" s="10">
        <f ca="1">TODAY()-4115</f>
        <v>40106</v>
      </c>
      <c r="D1869" s="10" t="s">
        <v>2291</v>
      </c>
      <c r="E1869" s="12" t="s">
        <v>2291</v>
      </c>
      <c r="F1869" s="16">
        <v>215000</v>
      </c>
    </row>
    <row r="1870" spans="1:6" x14ac:dyDescent="0.2">
      <c r="A1870" s="8" t="s">
        <v>994</v>
      </c>
      <c r="B1870" s="9">
        <v>17405277973</v>
      </c>
      <c r="C1870" s="10">
        <f ca="1">TODAY()-2136</f>
        <v>42085</v>
      </c>
      <c r="D1870" s="10" t="s">
        <v>2296</v>
      </c>
      <c r="E1870" s="12" t="s">
        <v>3472</v>
      </c>
      <c r="F1870" s="16">
        <v>410000</v>
      </c>
    </row>
    <row r="1871" spans="1:6" x14ac:dyDescent="0.2">
      <c r="A1871" s="8" t="s">
        <v>1185</v>
      </c>
      <c r="B1871" s="9">
        <v>26505149833</v>
      </c>
      <c r="C1871" s="10">
        <f ca="1">TODAY()-1951</f>
        <v>42270</v>
      </c>
      <c r="D1871" s="10" t="s">
        <v>2300</v>
      </c>
      <c r="E1871" s="12" t="s">
        <v>3534</v>
      </c>
      <c r="F1871" s="16">
        <v>360000</v>
      </c>
    </row>
    <row r="1872" spans="1:6" x14ac:dyDescent="0.2">
      <c r="A1872" s="8" t="s">
        <v>496</v>
      </c>
      <c r="B1872" s="9">
        <v>27403169801</v>
      </c>
      <c r="C1872" s="10">
        <f ca="1">TODAY()-2245</f>
        <v>41976</v>
      </c>
      <c r="D1872" s="10" t="s">
        <v>3400</v>
      </c>
      <c r="E1872" s="12" t="s">
        <v>3400</v>
      </c>
      <c r="F1872" s="16">
        <v>240000</v>
      </c>
    </row>
    <row r="1873" spans="1:6" x14ac:dyDescent="0.2">
      <c r="A1873" s="8" t="s">
        <v>855</v>
      </c>
      <c r="B1873" s="9">
        <v>27608216347</v>
      </c>
      <c r="C1873" s="10">
        <f ca="1">TODAY()-2330</f>
        <v>41891</v>
      </c>
      <c r="D1873" s="10" t="s">
        <v>3385</v>
      </c>
      <c r="E1873" s="12" t="s">
        <v>3423</v>
      </c>
      <c r="F1873" s="16">
        <v>250000</v>
      </c>
    </row>
    <row r="1874" spans="1:6" x14ac:dyDescent="0.2">
      <c r="A1874" s="8" t="s">
        <v>967</v>
      </c>
      <c r="B1874" s="9">
        <v>17911255418</v>
      </c>
      <c r="C1874" s="10">
        <f ca="1">TODAY()-1754</f>
        <v>42467</v>
      </c>
      <c r="D1874" s="10" t="s">
        <v>3389</v>
      </c>
      <c r="E1874" s="12" t="s">
        <v>3389</v>
      </c>
      <c r="F1874" s="16">
        <v>270000</v>
      </c>
    </row>
    <row r="1875" spans="1:6" x14ac:dyDescent="0.2">
      <c r="A1875" s="8" t="s">
        <v>879</v>
      </c>
      <c r="B1875" s="9">
        <v>26207064218</v>
      </c>
      <c r="C1875" s="10">
        <f ca="1">TODAY()-4095</f>
        <v>40126</v>
      </c>
      <c r="D1875" s="10" t="s">
        <v>2285</v>
      </c>
      <c r="E1875" s="12" t="s">
        <v>3501</v>
      </c>
      <c r="F1875" s="16">
        <v>310000</v>
      </c>
    </row>
    <row r="1876" spans="1:6" x14ac:dyDescent="0.2">
      <c r="A1876" s="8" t="s">
        <v>886</v>
      </c>
      <c r="B1876" s="9">
        <v>28108048954</v>
      </c>
      <c r="C1876" s="10">
        <f ca="1">TODAY()-692</f>
        <v>43529</v>
      </c>
      <c r="D1876" s="10" t="s">
        <v>2288</v>
      </c>
      <c r="E1876" s="12" t="s">
        <v>3427</v>
      </c>
      <c r="F1876" s="16">
        <v>295000</v>
      </c>
    </row>
    <row r="1877" spans="1:6" x14ac:dyDescent="0.2">
      <c r="A1877" s="8" t="s">
        <v>768</v>
      </c>
      <c r="B1877" s="9">
        <v>27510145543</v>
      </c>
      <c r="C1877" s="10">
        <f ca="1">TODAY()-218</f>
        <v>44003</v>
      </c>
      <c r="D1877" s="10" t="s">
        <v>2304</v>
      </c>
      <c r="E1877" s="12" t="s">
        <v>3455</v>
      </c>
      <c r="F1877" s="16">
        <v>500000</v>
      </c>
    </row>
    <row r="1878" spans="1:6" x14ac:dyDescent="0.2">
      <c r="A1878" s="8" t="s">
        <v>2219</v>
      </c>
      <c r="B1878" s="9">
        <v>26010106537</v>
      </c>
      <c r="C1878" s="10">
        <f ca="1">TODAY()-2672</f>
        <v>41549</v>
      </c>
      <c r="D1878" s="10" t="s">
        <v>2288</v>
      </c>
      <c r="E1878" s="12" t="s">
        <v>3457</v>
      </c>
      <c r="F1878" s="16">
        <v>220000</v>
      </c>
    </row>
    <row r="1879" spans="1:6" x14ac:dyDescent="0.2">
      <c r="A1879" s="8" t="s">
        <v>2211</v>
      </c>
      <c r="B1879" s="9">
        <v>16105017130</v>
      </c>
      <c r="C1879" s="10">
        <f ca="1">TODAY()-1158</f>
        <v>43063</v>
      </c>
      <c r="D1879" s="10" t="s">
        <v>3386</v>
      </c>
      <c r="E1879" s="12" t="s">
        <v>3467</v>
      </c>
      <c r="F1879" s="16">
        <v>385000</v>
      </c>
    </row>
    <row r="1880" spans="1:6" x14ac:dyDescent="0.2">
      <c r="A1880" s="8" t="s">
        <v>494</v>
      </c>
      <c r="B1880" s="9">
        <v>18708102714</v>
      </c>
      <c r="C1880" s="10">
        <f ca="1">TODAY()-1821</f>
        <v>42400</v>
      </c>
      <c r="D1880" s="10" t="s">
        <v>3380</v>
      </c>
      <c r="E1880" s="12" t="s">
        <v>3428</v>
      </c>
      <c r="F1880" s="16">
        <v>415000</v>
      </c>
    </row>
    <row r="1881" spans="1:6" x14ac:dyDescent="0.2">
      <c r="A1881" s="8" t="s">
        <v>1821</v>
      </c>
      <c r="B1881" s="9">
        <v>26805023340</v>
      </c>
      <c r="C1881" s="10">
        <f ca="1">TODAY()-1411</f>
        <v>42810</v>
      </c>
      <c r="D1881" s="10" t="s">
        <v>2298</v>
      </c>
      <c r="E1881" s="12" t="s">
        <v>3518</v>
      </c>
      <c r="F1881" s="16">
        <v>210000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AB.MAX, AB.DARAB</vt:lpstr>
      <vt:lpstr>AB.DARAB2, AB.SZUM</vt:lpstr>
      <vt:lpstr>AB.ÁTLAG, AB.MEZŐ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Excel - adatbázis-kezelő függvények</dc:title>
  <dc:subject>gyakorló feladatok</dc:subject>
  <dc:creator>Margitfalvi Árpád</dc:creator>
  <cp:keywords>gyakorló feladatok, AB.MAX, AB.DARAB, AB.DARAB2, AB.SZUM, AB.ÁTLAG, AB.MEZŐ</cp:keywords>
  <cp:lastModifiedBy>Lúdas Matyi</cp:lastModifiedBy>
  <cp:lastPrinted>2019-10-14T04:29:43Z</cp:lastPrinted>
  <dcterms:created xsi:type="dcterms:W3CDTF">2019-06-20T06:34:40Z</dcterms:created>
  <dcterms:modified xsi:type="dcterms:W3CDTF">2021-01-25T14:23:25Z</dcterms:modified>
  <cp:category>adatbázis-kezelő függvények</cp:category>
</cp:coreProperties>
</file>