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ThisWorkbook"/>
  <xr:revisionPtr revIDLastSave="0" documentId="13_ncr:1_{E3FEBE3E-15C3-4D39-9C6B-16400575ADC3}" xr6:coauthVersionLast="45" xr6:coauthVersionMax="45" xr10:uidLastSave="{00000000-0000-0000-0000-000000000000}"/>
  <bookViews>
    <workbookView xWindow="-120" yWindow="-120" windowWidth="17520" windowHeight="12750" xr2:uid="{00000000-000D-0000-FFFF-FFFF00000000}"/>
  </bookViews>
  <sheets>
    <sheet name="javítások adatai" sheetId="25" r:id="rId1"/>
    <sheet name="feladatok P" sheetId="24" r:id="rId2"/>
    <sheet name="ültetvények" sheetId="1" r:id="rId3"/>
    <sheet name="feladatok Q" sheetId="4" r:id="rId4"/>
    <sheet name="feladatok R" sheetId="26" r:id="rId5"/>
  </sheets>
  <calcPr calcId="191029"/>
  <pivotCaches>
    <pivotCache cacheId="11" r:id="rId6"/>
    <pivotCache cacheId="1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79" i="25" l="1"/>
  <c r="E1078" i="25"/>
  <c r="E1077" i="25"/>
  <c r="E1076" i="25"/>
  <c r="E1075" i="25"/>
  <c r="E1074" i="25"/>
  <c r="E1073" i="25"/>
  <c r="E1072" i="25"/>
  <c r="E1071" i="25"/>
  <c r="E1070" i="25"/>
  <c r="E1069" i="25"/>
  <c r="E1068" i="25"/>
  <c r="E1067" i="25"/>
  <c r="E1066" i="25"/>
  <c r="E1065" i="25"/>
  <c r="E1064" i="25"/>
  <c r="E1063" i="25"/>
  <c r="E1062" i="25"/>
  <c r="E1061" i="25"/>
  <c r="E1060" i="25"/>
  <c r="E1059" i="25"/>
  <c r="E1058" i="25"/>
  <c r="E1057" i="25"/>
  <c r="E1056" i="25"/>
  <c r="E1055" i="25"/>
  <c r="E1054" i="25"/>
  <c r="E1053" i="25"/>
  <c r="E1052" i="25"/>
  <c r="E1051" i="25"/>
  <c r="E1050" i="25"/>
  <c r="E1049" i="25"/>
  <c r="E1048" i="25"/>
  <c r="E1047" i="25"/>
  <c r="E1046" i="25"/>
  <c r="E1045" i="25"/>
  <c r="E1044" i="25"/>
  <c r="E1043" i="25"/>
  <c r="E1042" i="25"/>
  <c r="E1041" i="25"/>
  <c r="E1040" i="25"/>
  <c r="E1039" i="25"/>
  <c r="E1038" i="25"/>
  <c r="E1037" i="25"/>
  <c r="E1036" i="25"/>
  <c r="E1035" i="25"/>
  <c r="E1034" i="25"/>
  <c r="E1033" i="25"/>
  <c r="E1032" i="25"/>
  <c r="E1031" i="25"/>
  <c r="E1030" i="25"/>
  <c r="E1029" i="25"/>
  <c r="E1028" i="25"/>
  <c r="E1027" i="25"/>
  <c r="E1026" i="25"/>
  <c r="E1025" i="25"/>
  <c r="E1024" i="25"/>
  <c r="E1023" i="25"/>
  <c r="E1022" i="25"/>
  <c r="E1021" i="25"/>
  <c r="E1020" i="25"/>
  <c r="E1019" i="25"/>
  <c r="E1018" i="25"/>
  <c r="E1017" i="25"/>
  <c r="E1016" i="25"/>
  <c r="E1015" i="25"/>
  <c r="E1014" i="25"/>
  <c r="E1013" i="25"/>
  <c r="E1012" i="25"/>
  <c r="E1011" i="25"/>
  <c r="E1010" i="25"/>
  <c r="E1009" i="25"/>
  <c r="E1008" i="25"/>
  <c r="E1007" i="25"/>
  <c r="E1006" i="25"/>
  <c r="E1005" i="25"/>
  <c r="E1004" i="25"/>
  <c r="E1003" i="25"/>
  <c r="E1002" i="25"/>
  <c r="E1001" i="25"/>
  <c r="E1000" i="25"/>
  <c r="E999" i="25"/>
  <c r="E998" i="25"/>
  <c r="E997" i="25"/>
  <c r="E996" i="25"/>
  <c r="E995" i="25"/>
  <c r="E994" i="25"/>
  <c r="E993" i="25"/>
  <c r="E992" i="25"/>
  <c r="E991" i="25"/>
  <c r="E990" i="25"/>
  <c r="E989" i="25"/>
  <c r="E988" i="25"/>
  <c r="E987" i="25"/>
  <c r="E986" i="25"/>
  <c r="E985" i="25"/>
  <c r="E984" i="25"/>
  <c r="E983" i="25"/>
  <c r="E982" i="25"/>
  <c r="E981" i="25"/>
  <c r="E980" i="25"/>
  <c r="E979" i="25"/>
  <c r="E978" i="25"/>
  <c r="E977" i="25"/>
  <c r="E976" i="25"/>
  <c r="E975" i="25"/>
  <c r="E974" i="25"/>
  <c r="E973" i="25"/>
  <c r="E972" i="25"/>
  <c r="E971" i="25"/>
  <c r="E970" i="25"/>
  <c r="E969" i="25"/>
  <c r="E968" i="25"/>
  <c r="E967" i="25"/>
  <c r="E966" i="25"/>
  <c r="E965" i="25"/>
  <c r="E964" i="25"/>
  <c r="E963" i="25"/>
  <c r="E962" i="25"/>
  <c r="E961" i="25"/>
  <c r="E960" i="25"/>
  <c r="E959" i="25"/>
  <c r="E958" i="25"/>
  <c r="E957" i="25"/>
  <c r="E956" i="25"/>
  <c r="E955" i="25"/>
  <c r="E954" i="25"/>
  <c r="E953" i="25"/>
  <c r="E952" i="25"/>
  <c r="E951" i="25"/>
  <c r="E950" i="25"/>
  <c r="E949" i="25"/>
  <c r="E948" i="25"/>
  <c r="E947" i="25"/>
  <c r="E946" i="25"/>
  <c r="E945" i="25"/>
  <c r="E944" i="25"/>
  <c r="E943" i="25"/>
  <c r="E942" i="25"/>
  <c r="E941" i="25"/>
  <c r="E940" i="25"/>
  <c r="E939" i="25"/>
  <c r="E938" i="25"/>
  <c r="E937" i="25"/>
  <c r="E936" i="25"/>
  <c r="E935" i="25"/>
  <c r="E934" i="25"/>
  <c r="E933" i="25"/>
  <c r="E932" i="25"/>
  <c r="E931" i="25"/>
  <c r="E930" i="25"/>
  <c r="E929" i="25"/>
  <c r="E928" i="25"/>
  <c r="E927" i="25"/>
  <c r="E926" i="25"/>
  <c r="E925" i="25"/>
  <c r="E924" i="25"/>
  <c r="E923" i="25"/>
  <c r="E922" i="25"/>
  <c r="E921" i="25"/>
  <c r="E920" i="25"/>
  <c r="E919" i="25"/>
  <c r="E918" i="25"/>
  <c r="E917" i="25"/>
  <c r="E916" i="25"/>
  <c r="E915" i="25"/>
  <c r="E914" i="25"/>
  <c r="E913" i="25"/>
  <c r="E912" i="25"/>
  <c r="E911" i="25"/>
  <c r="E910" i="25"/>
  <c r="E909" i="25"/>
  <c r="E908" i="25"/>
  <c r="E907" i="25"/>
  <c r="E906" i="25"/>
  <c r="E905" i="25"/>
  <c r="E904" i="25"/>
  <c r="E903" i="25"/>
  <c r="E902" i="25"/>
  <c r="E901" i="25"/>
  <c r="E900" i="25"/>
  <c r="E899" i="25"/>
  <c r="E898" i="25"/>
  <c r="E897" i="25"/>
  <c r="E896" i="25"/>
  <c r="E895" i="25"/>
  <c r="E894" i="25"/>
  <c r="E893" i="25"/>
  <c r="E892" i="25"/>
  <c r="E891" i="25"/>
  <c r="E890" i="25"/>
  <c r="E889" i="25"/>
  <c r="E888" i="25"/>
  <c r="E887" i="25"/>
  <c r="E886" i="25"/>
  <c r="E885" i="25"/>
  <c r="E884" i="25"/>
  <c r="E883" i="25"/>
  <c r="E882" i="25"/>
  <c r="E881" i="25"/>
  <c r="E880" i="25"/>
  <c r="E879" i="25"/>
  <c r="E878" i="25"/>
  <c r="E877" i="25"/>
  <c r="E876" i="25"/>
  <c r="E875" i="25"/>
  <c r="E874" i="25"/>
  <c r="E873" i="25"/>
  <c r="E872" i="25"/>
  <c r="E871" i="25"/>
  <c r="E870" i="25"/>
  <c r="E869" i="25"/>
  <c r="E868" i="25"/>
  <c r="E867" i="25"/>
  <c r="E866" i="25"/>
  <c r="E865" i="25"/>
  <c r="E864" i="25"/>
  <c r="E863" i="25"/>
  <c r="E862" i="25"/>
  <c r="E861" i="25"/>
  <c r="E860" i="25"/>
  <c r="E859" i="25"/>
  <c r="E858" i="25"/>
  <c r="E857" i="25"/>
  <c r="E856" i="25"/>
  <c r="E855" i="25"/>
  <c r="E854" i="25"/>
  <c r="E853" i="25"/>
  <c r="E852" i="25"/>
  <c r="E851" i="25"/>
  <c r="E850" i="25"/>
  <c r="E849" i="25"/>
  <c r="E848" i="25"/>
  <c r="E847" i="25"/>
  <c r="E846" i="25"/>
  <c r="E845" i="25"/>
  <c r="E844" i="25"/>
  <c r="E843" i="25"/>
  <c r="E842" i="25"/>
  <c r="E841" i="25"/>
  <c r="E840" i="25"/>
  <c r="E839" i="25"/>
  <c r="E838" i="25"/>
  <c r="E837" i="25"/>
  <c r="E836" i="25"/>
  <c r="E835" i="25"/>
  <c r="E834" i="25"/>
  <c r="E833" i="25"/>
  <c r="E832" i="25"/>
  <c r="E831" i="25"/>
  <c r="E830" i="25"/>
  <c r="E829" i="25"/>
  <c r="E828" i="25"/>
  <c r="E827" i="25"/>
  <c r="E826" i="25"/>
  <c r="E825" i="25"/>
  <c r="E824" i="25"/>
  <c r="E823" i="25"/>
  <c r="E822" i="25"/>
  <c r="E821" i="25"/>
  <c r="E820" i="25"/>
  <c r="E819" i="25"/>
  <c r="E818" i="25"/>
  <c r="E817" i="25"/>
  <c r="E816" i="25"/>
  <c r="E815" i="25"/>
  <c r="E814" i="25"/>
  <c r="E813" i="25"/>
  <c r="E812" i="25"/>
  <c r="E811" i="25"/>
  <c r="E810" i="25"/>
  <c r="E809" i="25"/>
  <c r="E808" i="25"/>
  <c r="E807" i="25"/>
  <c r="E806" i="25"/>
  <c r="E805" i="25"/>
  <c r="E804" i="25"/>
  <c r="E803" i="25"/>
  <c r="E802" i="25"/>
  <c r="E801" i="25"/>
  <c r="E800" i="25"/>
  <c r="E799" i="25"/>
  <c r="E798" i="25"/>
  <c r="E797" i="25"/>
  <c r="E796" i="25"/>
  <c r="E795" i="25"/>
  <c r="E794" i="25"/>
  <c r="E793" i="25"/>
  <c r="E792" i="25"/>
  <c r="E791" i="25"/>
  <c r="E790" i="25"/>
  <c r="E789" i="25"/>
  <c r="E788" i="25"/>
  <c r="E787" i="25"/>
  <c r="E786" i="25"/>
  <c r="E785" i="25"/>
  <c r="E784" i="25"/>
  <c r="E783" i="25"/>
  <c r="E782" i="25"/>
  <c r="E781" i="25"/>
  <c r="E780" i="25"/>
  <c r="E779" i="25"/>
  <c r="E778" i="25"/>
  <c r="E777" i="25"/>
  <c r="E776" i="25"/>
  <c r="E775" i="25"/>
  <c r="E774" i="25"/>
  <c r="E773" i="25"/>
  <c r="E772" i="25"/>
  <c r="E771" i="25"/>
  <c r="E770" i="25"/>
  <c r="E769" i="25"/>
  <c r="E768" i="25"/>
  <c r="E767" i="25"/>
  <c r="E766" i="25"/>
  <c r="E765" i="25"/>
  <c r="E764" i="25"/>
  <c r="E763" i="25"/>
  <c r="E762" i="25"/>
  <c r="E761" i="25"/>
  <c r="E760" i="25"/>
  <c r="E759" i="25"/>
  <c r="E758" i="25"/>
  <c r="E757" i="25"/>
  <c r="E756" i="25"/>
  <c r="E755" i="25"/>
  <c r="E754" i="25"/>
  <c r="E753" i="25"/>
  <c r="E752" i="25"/>
  <c r="E751" i="25"/>
  <c r="E750" i="25"/>
  <c r="E749" i="25"/>
  <c r="E748" i="25"/>
  <c r="E747" i="25"/>
  <c r="E746" i="25"/>
  <c r="E745" i="25"/>
  <c r="E744" i="25"/>
  <c r="E743" i="25"/>
  <c r="E742" i="25"/>
  <c r="E741" i="25"/>
  <c r="E740" i="25"/>
  <c r="E739" i="25"/>
  <c r="E738" i="25"/>
  <c r="E737" i="25"/>
  <c r="E736" i="25"/>
  <c r="E735" i="25"/>
  <c r="E734" i="25"/>
  <c r="E733" i="25"/>
  <c r="E732" i="25"/>
  <c r="E731" i="25"/>
  <c r="E730" i="25"/>
  <c r="E729" i="25"/>
  <c r="E728" i="25"/>
  <c r="E727" i="25"/>
  <c r="E726" i="25"/>
  <c r="E725" i="25"/>
  <c r="E724" i="25"/>
  <c r="E723" i="25"/>
  <c r="E722" i="25"/>
  <c r="E721" i="25"/>
  <c r="E720" i="25"/>
  <c r="E719" i="25"/>
  <c r="E718" i="25"/>
  <c r="E717" i="25"/>
  <c r="E716" i="25"/>
  <c r="E715" i="25"/>
  <c r="E714" i="25"/>
  <c r="E713" i="25"/>
  <c r="E712" i="25"/>
  <c r="E711" i="25"/>
  <c r="E710" i="25"/>
  <c r="E709" i="25"/>
  <c r="E708" i="25"/>
  <c r="E707" i="25"/>
  <c r="E706" i="25"/>
  <c r="E705" i="25"/>
  <c r="E704" i="25"/>
  <c r="E703" i="25"/>
  <c r="E702" i="25"/>
  <c r="E701" i="25"/>
  <c r="E700" i="25"/>
  <c r="E699" i="25"/>
  <c r="E698" i="25"/>
  <c r="E697" i="25"/>
  <c r="E696" i="25"/>
  <c r="E695" i="25"/>
  <c r="E694" i="25"/>
  <c r="E693" i="25"/>
  <c r="E692" i="25"/>
  <c r="E691" i="25"/>
  <c r="E690" i="25"/>
  <c r="E689" i="25"/>
  <c r="E688" i="25"/>
  <c r="E687" i="25"/>
  <c r="E686" i="25"/>
  <c r="E685" i="25"/>
  <c r="E684" i="25"/>
  <c r="E683" i="25"/>
  <c r="E682" i="25"/>
  <c r="E681" i="25"/>
  <c r="E680" i="25"/>
  <c r="E679" i="25"/>
  <c r="E678" i="25"/>
  <c r="E677" i="25"/>
  <c r="E676" i="25"/>
  <c r="E675" i="25"/>
  <c r="E674" i="25"/>
  <c r="E673" i="25"/>
  <c r="E672" i="25"/>
  <c r="E671" i="25"/>
  <c r="E670" i="25"/>
  <c r="E669" i="25"/>
  <c r="E668" i="25"/>
  <c r="E667" i="25"/>
  <c r="E666" i="25"/>
  <c r="E665" i="25"/>
  <c r="E664" i="25"/>
  <c r="E663" i="25"/>
  <c r="E662" i="25"/>
  <c r="E661" i="25"/>
  <c r="E660" i="25"/>
  <c r="E659" i="25"/>
  <c r="E658" i="25"/>
  <c r="E657" i="25"/>
  <c r="E656" i="25"/>
  <c r="E655" i="25"/>
  <c r="E654" i="25"/>
  <c r="E653" i="25"/>
  <c r="E652" i="25"/>
  <c r="E651" i="25"/>
  <c r="E650" i="25"/>
  <c r="E649" i="25"/>
  <c r="E648" i="25"/>
  <c r="E647" i="25"/>
  <c r="E64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30" i="25"/>
  <c r="E629" i="25"/>
  <c r="E628" i="25"/>
  <c r="E627" i="25"/>
  <c r="E626" i="25"/>
  <c r="E625" i="25"/>
  <c r="E624" i="25"/>
  <c r="E623" i="25"/>
  <c r="E622" i="25"/>
  <c r="E621" i="25"/>
  <c r="E620" i="25"/>
  <c r="E619" i="25"/>
  <c r="E618" i="25"/>
  <c r="E617" i="25"/>
  <c r="E616" i="25"/>
  <c r="E615" i="25"/>
  <c r="E614" i="25"/>
  <c r="E613" i="25"/>
  <c r="E612" i="25"/>
  <c r="E611" i="25"/>
  <c r="E610" i="25"/>
  <c r="E609" i="25"/>
  <c r="E608" i="25"/>
  <c r="E607" i="25"/>
  <c r="E606" i="25"/>
  <c r="E605" i="25"/>
  <c r="E604" i="25"/>
  <c r="E603" i="25"/>
  <c r="E602" i="25"/>
  <c r="E601" i="25"/>
  <c r="E600" i="25"/>
  <c r="E599" i="25"/>
  <c r="E598" i="25"/>
  <c r="E597" i="25"/>
  <c r="E596" i="25"/>
  <c r="E595" i="25"/>
  <c r="E594" i="25"/>
  <c r="E593" i="25"/>
  <c r="E592" i="25"/>
  <c r="E591" i="25"/>
  <c r="E590" i="25"/>
  <c r="E589" i="25"/>
  <c r="E588" i="25"/>
  <c r="E587" i="25"/>
  <c r="E586" i="25"/>
  <c r="E585" i="25"/>
  <c r="E584" i="25"/>
  <c r="E583" i="25"/>
  <c r="E582" i="25"/>
  <c r="E581" i="25"/>
  <c r="E580" i="25"/>
  <c r="E579" i="25"/>
  <c r="E578" i="25"/>
  <c r="E577" i="25"/>
  <c r="E576" i="25"/>
  <c r="E575" i="25"/>
  <c r="E574" i="25"/>
  <c r="E573" i="25"/>
  <c r="E572" i="25"/>
  <c r="E571" i="25"/>
  <c r="E570" i="25"/>
  <c r="E569" i="25"/>
  <c r="E568" i="25"/>
  <c r="E567" i="25"/>
  <c r="E566" i="25"/>
  <c r="E565" i="25"/>
  <c r="E564" i="25"/>
  <c r="E563" i="25"/>
  <c r="E562" i="25"/>
  <c r="E561" i="25"/>
  <c r="E560" i="25"/>
  <c r="E559" i="25"/>
  <c r="E558" i="25"/>
  <c r="E557" i="25"/>
  <c r="E556" i="25"/>
  <c r="E555" i="25"/>
  <c r="E554" i="25"/>
  <c r="E553" i="25"/>
  <c r="E552" i="25"/>
  <c r="E551" i="25"/>
  <c r="E550" i="25"/>
  <c r="E549" i="25"/>
  <c r="E548" i="25"/>
  <c r="E547" i="25"/>
  <c r="E546" i="25"/>
  <c r="E545" i="25"/>
  <c r="E544" i="25"/>
  <c r="E543" i="25"/>
  <c r="E542" i="25"/>
  <c r="E541" i="25"/>
  <c r="E540" i="25"/>
  <c r="E539" i="25"/>
  <c r="E538" i="25"/>
  <c r="E537" i="25"/>
  <c r="E536" i="25"/>
  <c r="E535" i="25"/>
  <c r="E534" i="25"/>
  <c r="E533" i="25"/>
  <c r="E532" i="25"/>
  <c r="E531" i="25"/>
  <c r="E530" i="25"/>
  <c r="E529" i="25"/>
  <c r="E528" i="25"/>
  <c r="E527" i="25"/>
  <c r="E526" i="25"/>
  <c r="E525" i="25"/>
  <c r="E524" i="25"/>
  <c r="E523" i="25"/>
  <c r="E522" i="25"/>
  <c r="E521" i="25"/>
  <c r="E520" i="25"/>
  <c r="E519" i="25"/>
  <c r="E518" i="25"/>
  <c r="E517" i="25"/>
  <c r="E516" i="25"/>
  <c r="E515" i="25"/>
  <c r="E514" i="25"/>
  <c r="E513" i="25"/>
  <c r="E512" i="25"/>
  <c r="E511" i="25"/>
  <c r="E510" i="25"/>
  <c r="E509" i="25"/>
  <c r="E508" i="25"/>
  <c r="E507" i="25"/>
  <c r="E506" i="25"/>
  <c r="E505" i="25"/>
  <c r="E504" i="25"/>
  <c r="E503" i="25"/>
  <c r="E502" i="25"/>
  <c r="E501" i="25"/>
  <c r="E500" i="25"/>
  <c r="E499" i="25"/>
  <c r="E498" i="25"/>
  <c r="E497" i="25"/>
  <c r="E496" i="25"/>
  <c r="E495" i="25"/>
  <c r="E494" i="25"/>
  <c r="E493" i="25"/>
  <c r="E492" i="25"/>
  <c r="E491" i="25"/>
  <c r="E490" i="25"/>
  <c r="E489" i="25"/>
  <c r="E488" i="25"/>
  <c r="E487" i="25"/>
  <c r="E486" i="25"/>
  <c r="E485" i="25"/>
  <c r="E484" i="25"/>
  <c r="E483" i="25"/>
  <c r="E482" i="25"/>
  <c r="E481" i="25"/>
  <c r="E480" i="25"/>
  <c r="E479" i="25"/>
  <c r="E478" i="25"/>
  <c r="E477" i="25"/>
  <c r="E476" i="25"/>
  <c r="E475" i="25"/>
  <c r="E474" i="25"/>
  <c r="E473" i="25"/>
  <c r="E472" i="25"/>
  <c r="E471" i="25"/>
  <c r="E470" i="25"/>
  <c r="E469" i="25"/>
  <c r="E468" i="25"/>
  <c r="E467" i="25"/>
  <c r="E466" i="25"/>
  <c r="E465" i="25"/>
  <c r="E464" i="25"/>
  <c r="E463" i="25"/>
  <c r="E462" i="25"/>
  <c r="E461" i="25"/>
  <c r="E460" i="25"/>
  <c r="E459" i="25"/>
  <c r="E458" i="25"/>
  <c r="E457" i="25"/>
  <c r="E456" i="25"/>
  <c r="E455" i="25"/>
  <c r="E454" i="25"/>
  <c r="E453" i="25"/>
  <c r="E452" i="25"/>
  <c r="E451" i="25"/>
  <c r="E450" i="25"/>
  <c r="E449" i="25"/>
  <c r="E448" i="25"/>
  <c r="E447" i="25"/>
  <c r="E446" i="25"/>
  <c r="E445" i="25"/>
  <c r="E444" i="25"/>
  <c r="E443" i="25"/>
  <c r="E442" i="25"/>
  <c r="E441" i="25"/>
  <c r="E440" i="25"/>
  <c r="E439" i="25"/>
  <c r="E438" i="25"/>
  <c r="E437" i="25"/>
  <c r="E436" i="25"/>
  <c r="E435" i="25"/>
  <c r="E434" i="25"/>
  <c r="E433" i="25"/>
  <c r="E432" i="25"/>
  <c r="E431" i="25"/>
  <c r="E430" i="25"/>
  <c r="E429" i="25"/>
  <c r="E428" i="25"/>
  <c r="E427" i="25"/>
  <c r="E426" i="25"/>
  <c r="E425" i="25"/>
  <c r="E424" i="25"/>
  <c r="E423" i="25"/>
  <c r="E422" i="25"/>
  <c r="E421" i="25"/>
  <c r="E420" i="25"/>
  <c r="E419" i="25"/>
  <c r="E418" i="25"/>
  <c r="E417" i="25"/>
  <c r="E416" i="25"/>
  <c r="E415" i="25"/>
  <c r="E414" i="25"/>
  <c r="E413" i="25"/>
  <c r="E412" i="25"/>
  <c r="E411" i="25"/>
  <c r="E410" i="25"/>
  <c r="E409" i="25"/>
  <c r="E408" i="25"/>
  <c r="E407" i="25"/>
  <c r="E406" i="25"/>
  <c r="E405" i="25"/>
  <c r="E404" i="25"/>
  <c r="E403" i="25"/>
  <c r="E402" i="25"/>
  <c r="E401" i="25"/>
  <c r="E400" i="25"/>
  <c r="E399" i="25"/>
  <c r="E398" i="25"/>
  <c r="E397" i="25"/>
  <c r="E396" i="25"/>
  <c r="E395" i="25"/>
  <c r="E394" i="25"/>
  <c r="E393" i="25"/>
  <c r="E392" i="25"/>
  <c r="E391" i="25"/>
  <c r="E390" i="25"/>
  <c r="E389" i="25"/>
  <c r="E388" i="25"/>
  <c r="E387" i="25"/>
  <c r="E386" i="25"/>
  <c r="E385" i="25"/>
  <c r="E384" i="25"/>
  <c r="E383" i="25"/>
  <c r="E382" i="25"/>
  <c r="E381" i="25"/>
  <c r="E380" i="25"/>
  <c r="E379" i="25"/>
  <c r="E378" i="25"/>
  <c r="E377" i="25"/>
  <c r="E376" i="25"/>
  <c r="E375" i="25"/>
  <c r="E374" i="25"/>
  <c r="E373" i="25"/>
  <c r="E372" i="25"/>
  <c r="E371" i="25"/>
  <c r="E370" i="25"/>
  <c r="E369" i="25"/>
  <c r="E368" i="25"/>
  <c r="E367" i="25"/>
  <c r="E366" i="25"/>
  <c r="E365" i="25"/>
  <c r="E364" i="25"/>
  <c r="E363" i="25"/>
  <c r="E362" i="25"/>
  <c r="E361" i="25"/>
  <c r="E360" i="25"/>
  <c r="E359" i="25"/>
  <c r="E358" i="25"/>
  <c r="E357" i="25"/>
  <c r="E356" i="25"/>
  <c r="E355" i="25"/>
  <c r="E354" i="25"/>
  <c r="E353" i="25"/>
  <c r="E352" i="25"/>
  <c r="E351" i="25"/>
  <c r="E350" i="25"/>
  <c r="E349" i="25"/>
  <c r="E348" i="25"/>
  <c r="E347" i="25"/>
  <c r="E346" i="25"/>
  <c r="E345" i="25"/>
  <c r="E344" i="25"/>
  <c r="E343" i="25"/>
  <c r="E342" i="25"/>
  <c r="E341" i="25"/>
  <c r="E340" i="25"/>
  <c r="E339" i="25"/>
  <c r="E338" i="25"/>
  <c r="E337" i="25"/>
  <c r="E336" i="25"/>
  <c r="E335" i="25"/>
  <c r="E334" i="25"/>
  <c r="E333" i="25"/>
  <c r="E332" i="25"/>
  <c r="E331" i="25"/>
  <c r="E330" i="25"/>
  <c r="E329" i="25"/>
  <c r="E328" i="25"/>
  <c r="E327" i="25"/>
  <c r="E326" i="25"/>
  <c r="E325" i="25"/>
  <c r="E324" i="25"/>
  <c r="E323" i="25"/>
  <c r="E322" i="25"/>
  <c r="E321" i="25"/>
  <c r="E320" i="25"/>
  <c r="E319" i="25"/>
  <c r="E318" i="25"/>
  <c r="E317" i="25"/>
  <c r="E316" i="25"/>
  <c r="E315" i="25"/>
  <c r="E314" i="25"/>
  <c r="E313" i="25"/>
  <c r="E312" i="25"/>
  <c r="E311" i="25"/>
  <c r="E310" i="25"/>
  <c r="E309" i="25"/>
  <c r="E308" i="25"/>
  <c r="E307" i="25"/>
  <c r="E306" i="25"/>
  <c r="E305" i="25"/>
  <c r="E304" i="25"/>
  <c r="E303" i="25"/>
  <c r="E302" i="25"/>
  <c r="E301" i="25"/>
  <c r="E300" i="25"/>
  <c r="E299" i="25"/>
  <c r="E298" i="25"/>
  <c r="E297" i="25"/>
  <c r="E296" i="25"/>
  <c r="E295" i="25"/>
  <c r="E294" i="25"/>
  <c r="E293" i="25"/>
  <c r="E292" i="25"/>
  <c r="E291" i="25"/>
  <c r="E290" i="25"/>
  <c r="E289" i="25"/>
  <c r="E288" i="25"/>
  <c r="E287" i="25"/>
  <c r="E286" i="25"/>
  <c r="E285" i="25"/>
  <c r="E284" i="25"/>
  <c r="E283" i="25"/>
  <c r="E282" i="25"/>
  <c r="E281" i="25"/>
  <c r="E280" i="25"/>
  <c r="E279" i="25"/>
  <c r="E278" i="25"/>
  <c r="E277" i="25"/>
  <c r="E276" i="25"/>
  <c r="E275" i="25"/>
  <c r="E274" i="25"/>
  <c r="E273" i="25"/>
  <c r="E272" i="25"/>
  <c r="E271" i="25"/>
  <c r="E270" i="25"/>
  <c r="E269" i="25"/>
  <c r="E268" i="25"/>
  <c r="E267" i="25"/>
  <c r="E266" i="25"/>
  <c r="E265" i="25"/>
  <c r="E264" i="25"/>
  <c r="E263" i="25"/>
  <c r="E262" i="25"/>
  <c r="E261" i="25"/>
  <c r="E260" i="25"/>
  <c r="E259" i="25"/>
  <c r="E258" i="25"/>
  <c r="E257" i="25"/>
  <c r="E256" i="25"/>
  <c r="E255" i="25"/>
  <c r="E254" i="25"/>
  <c r="E253" i="25"/>
  <c r="E252" i="25"/>
  <c r="E251" i="25"/>
  <c r="E250" i="25"/>
  <c r="E249" i="25"/>
  <c r="E248" i="25"/>
  <c r="E247" i="25"/>
  <c r="E246" i="25"/>
  <c r="E245" i="25"/>
  <c r="E244" i="25"/>
  <c r="E243" i="25"/>
  <c r="E242" i="25"/>
  <c r="E241" i="25"/>
  <c r="E240" i="25"/>
  <c r="E239" i="25"/>
  <c r="E238" i="25"/>
  <c r="E237" i="25"/>
  <c r="E236" i="25"/>
  <c r="E235" i="25"/>
  <c r="E234" i="25"/>
  <c r="E233" i="25"/>
  <c r="E232" i="25"/>
  <c r="E231" i="25"/>
  <c r="E230" i="25"/>
  <c r="E229" i="25"/>
  <c r="E228" i="25"/>
  <c r="E227" i="25"/>
  <c r="E226" i="25"/>
  <c r="E225" i="25"/>
  <c r="E224" i="25"/>
  <c r="E223" i="25"/>
  <c r="E222" i="25"/>
  <c r="E221" i="25"/>
  <c r="E220" i="25"/>
  <c r="E219" i="25"/>
  <c r="E218" i="25"/>
  <c r="E217" i="25"/>
  <c r="E216" i="25"/>
  <c r="E215" i="25"/>
  <c r="E214" i="25"/>
  <c r="E213" i="25"/>
  <c r="E212" i="25"/>
  <c r="E211" i="25"/>
  <c r="E210" i="25"/>
  <c r="E209" i="25"/>
  <c r="E208" i="25"/>
  <c r="E207" i="25"/>
  <c r="E206" i="25"/>
  <c r="E205" i="25"/>
  <c r="E204" i="25"/>
  <c r="E203" i="25"/>
  <c r="E202" i="25"/>
  <c r="E201" i="25"/>
  <c r="E200" i="25"/>
  <c r="E199" i="25"/>
  <c r="E198" i="25"/>
  <c r="E197" i="25"/>
  <c r="E196" i="25"/>
  <c r="E195" i="25"/>
  <c r="E194" i="25"/>
  <c r="E193" i="25"/>
  <c r="E192" i="25"/>
  <c r="E191" i="25"/>
  <c r="E190" i="25"/>
  <c r="E189" i="25"/>
  <c r="E188" i="25"/>
  <c r="E187" i="25"/>
  <c r="E186" i="25"/>
  <c r="E185" i="25"/>
  <c r="E184" i="25"/>
  <c r="E183" i="25"/>
  <c r="E182" i="25"/>
  <c r="E181" i="25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6" i="25"/>
  <c r="E165" i="25"/>
  <c r="E164" i="25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6" i="25"/>
  <c r="E135" i="25"/>
  <c r="E134" i="25"/>
  <c r="E133" i="25"/>
  <c r="E132" i="25"/>
  <c r="E131" i="25"/>
  <c r="E130" i="25"/>
  <c r="E129" i="25"/>
  <c r="E128" i="25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E2" i="25"/>
</calcChain>
</file>

<file path=xl/sharedStrings.xml><?xml version="1.0" encoding="utf-8"?>
<sst xmlns="http://schemas.openxmlformats.org/spreadsheetml/2006/main" count="7078" uniqueCount="684">
  <si>
    <t>ültetvény AZ</t>
  </si>
  <si>
    <t>borrégió</t>
  </si>
  <si>
    <t>borvidék</t>
  </si>
  <si>
    <t>fajta</t>
  </si>
  <si>
    <t>szín</t>
  </si>
  <si>
    <t>szüret</t>
  </si>
  <si>
    <t>terület</t>
  </si>
  <si>
    <t>Pannon</t>
  </si>
  <si>
    <t>Villányi</t>
  </si>
  <si>
    <t>Kékfrankos</t>
  </si>
  <si>
    <t>vörös</t>
  </si>
  <si>
    <t>szept. vége</t>
  </si>
  <si>
    <t>Pécsi</t>
  </si>
  <si>
    <t>Zweigelt</t>
  </si>
  <si>
    <t>Észak-Dunántúli</t>
  </si>
  <si>
    <t>Móri</t>
  </si>
  <si>
    <t>Leányka</t>
  </si>
  <si>
    <t>fehér</t>
  </si>
  <si>
    <t>Rajnai rizling</t>
  </si>
  <si>
    <t>okt. eleje</t>
  </si>
  <si>
    <t>Neszmélyi</t>
  </si>
  <si>
    <t>Zenit</t>
  </si>
  <si>
    <t>szept. eleje</t>
  </si>
  <si>
    <t>Szürkebarát</t>
  </si>
  <si>
    <t>szept. közepe</t>
  </si>
  <si>
    <t>Szekszárdi</t>
  </si>
  <si>
    <t>Syrah</t>
  </si>
  <si>
    <t>okt. közepe</t>
  </si>
  <si>
    <t>Alföld (Duna)</t>
  </si>
  <si>
    <t>Hajós-Bajai</t>
  </si>
  <si>
    <t>Chardonnay</t>
  </si>
  <si>
    <t>Blauburger</t>
  </si>
  <si>
    <t>Tolnai</t>
  </si>
  <si>
    <t>Merlot</t>
  </si>
  <si>
    <t>Kunsági</t>
  </si>
  <si>
    <t>Kadarka</t>
  </si>
  <si>
    <t>Cabernet sauvignon</t>
  </si>
  <si>
    <t>Eger</t>
  </si>
  <si>
    <t>Bükki</t>
  </si>
  <si>
    <t>Etyek-Budai</t>
  </si>
  <si>
    <t>Olasz rizling</t>
  </si>
  <si>
    <t>Balaton</t>
  </si>
  <si>
    <t>Zalai</t>
  </si>
  <si>
    <t>Balaton-felvidéki</t>
  </si>
  <si>
    <t>Cserszegi fűszeres</t>
  </si>
  <si>
    <t>Pinot noir</t>
  </si>
  <si>
    <t>Pannonhalmi</t>
  </si>
  <si>
    <t>Hárslevelű</t>
  </si>
  <si>
    <t>okt. vége</t>
  </si>
  <si>
    <t>Egri</t>
  </si>
  <si>
    <t>Ottonel muskotály</t>
  </si>
  <si>
    <t>Zengő</t>
  </si>
  <si>
    <t>Zöld veltelíni</t>
  </si>
  <si>
    <t>Cabernet franc</t>
  </si>
  <si>
    <t>Karát</t>
  </si>
  <si>
    <t>Balatonboglári</t>
  </si>
  <si>
    <t>Zalagyöngye</t>
  </si>
  <si>
    <t>Menoire</t>
  </si>
  <si>
    <t>Csongrádi</t>
  </si>
  <si>
    <t>Mátrai</t>
  </si>
  <si>
    <t>Sauvignon blanc</t>
  </si>
  <si>
    <t>Vértes csillaga</t>
  </si>
  <si>
    <t>Badacsonyi</t>
  </si>
  <si>
    <t>Tramini</t>
  </si>
  <si>
    <t>Zefír</t>
  </si>
  <si>
    <t>aug. vége</t>
  </si>
  <si>
    <t>Kék oportó</t>
  </si>
  <si>
    <t>Sárga muskotály</t>
  </si>
  <si>
    <t>Jubileum 75</t>
  </si>
  <si>
    <t>Pinot blanc</t>
  </si>
  <si>
    <t>Balatonfüred-Csopaki</t>
  </si>
  <si>
    <t>Királyleányka</t>
  </si>
  <si>
    <t>Nagy-Somlói</t>
  </si>
  <si>
    <t>Juhfark</t>
  </si>
  <si>
    <t>Ezerfürtű</t>
  </si>
  <si>
    <t>Sagrantino</t>
  </si>
  <si>
    <t>Bíbor kadarka</t>
  </si>
  <si>
    <t>Cabernet Franc</t>
  </si>
  <si>
    <t>Zöld szilváni</t>
  </si>
  <si>
    <t>Sopron</t>
  </si>
  <si>
    <t>Soproni</t>
  </si>
  <si>
    <t>Kunleány</t>
  </si>
  <si>
    <t>Oraniensteiner</t>
  </si>
  <si>
    <t>Nektár</t>
  </si>
  <si>
    <t>Rubintos</t>
  </si>
  <si>
    <t>Rizlingszilváni</t>
  </si>
  <si>
    <t>Alibernet</t>
  </si>
  <si>
    <t>Kövidinka</t>
  </si>
  <si>
    <t>Zeus</t>
  </si>
  <si>
    <t>Ezerjó</t>
  </si>
  <si>
    <t>Turán</t>
  </si>
  <si>
    <t>Rózsakő</t>
  </si>
  <si>
    <t>Irsai Olivér</t>
  </si>
  <si>
    <t>Furmint</t>
  </si>
  <si>
    <t>Dornfelder</t>
  </si>
  <si>
    <t>Csomorika</t>
  </si>
  <si>
    <t>Tokaj-hegyalja</t>
  </si>
  <si>
    <t>Tokaji</t>
  </si>
  <si>
    <t>Cirfandli</t>
  </si>
  <si>
    <t>Csillám</t>
  </si>
  <si>
    <t>Viognier</t>
  </si>
  <si>
    <t>Kerner</t>
  </si>
  <si>
    <t>Mátrai muskotály</t>
  </si>
  <si>
    <t>Bianca</t>
  </si>
  <si>
    <t>Vulcanus</t>
  </si>
  <si>
    <t>Gyöngyrizling</t>
  </si>
  <si>
    <t>Gohér</t>
  </si>
  <si>
    <t>Semillon</t>
  </si>
  <si>
    <t>Pintes</t>
  </si>
  <si>
    <t>Tannat</t>
  </si>
  <si>
    <t>Viktória gyöngye</t>
  </si>
  <si>
    <t>Budai</t>
  </si>
  <si>
    <t>Zéta</t>
  </si>
  <si>
    <t>Scheurebe</t>
  </si>
  <si>
    <t>Kéknyelű</t>
  </si>
  <si>
    <t>Kövérszőlő</t>
  </si>
  <si>
    <t>rendszám</t>
  </si>
  <si>
    <t>típus</t>
  </si>
  <si>
    <t>osztály</t>
  </si>
  <si>
    <t>UYV-076</t>
  </si>
  <si>
    <t>Citroen C3</t>
  </si>
  <si>
    <t>ellenőrzési</t>
  </si>
  <si>
    <t>UCU-590</t>
  </si>
  <si>
    <t>Citroen C4</t>
  </si>
  <si>
    <t>pénzügyi</t>
  </si>
  <si>
    <t>BHQ-473</t>
  </si>
  <si>
    <t>Land Rover Discovery</t>
  </si>
  <si>
    <t>igazgatóság</t>
  </si>
  <si>
    <t>MPI-909</t>
  </si>
  <si>
    <t>Volkswagen Polo</t>
  </si>
  <si>
    <t>OGH-586</t>
  </si>
  <si>
    <t>beruházási</t>
  </si>
  <si>
    <t>IBY-325</t>
  </si>
  <si>
    <t>Skoda Fabia</t>
  </si>
  <si>
    <t>TRZ-647</t>
  </si>
  <si>
    <t>jogi</t>
  </si>
  <si>
    <t>HYZ-268</t>
  </si>
  <si>
    <t>Peugeot 308</t>
  </si>
  <si>
    <t>TGU-488</t>
  </si>
  <si>
    <t>Opel Corsa</t>
  </si>
  <si>
    <t>QAV-783</t>
  </si>
  <si>
    <t>FNJ-604</t>
  </si>
  <si>
    <t>MMJ-186</t>
  </si>
  <si>
    <t>Seat Ibiza</t>
  </si>
  <si>
    <t>SMU-668</t>
  </si>
  <si>
    <t>PIX-002</t>
  </si>
  <si>
    <t>Peugeot 301</t>
  </si>
  <si>
    <t>NCG-044</t>
  </si>
  <si>
    <t>Seat Leon</t>
  </si>
  <si>
    <t>GGJ-297</t>
  </si>
  <si>
    <t>Opel Astra</t>
  </si>
  <si>
    <t>BSB-354</t>
  </si>
  <si>
    <t>LCV-769</t>
  </si>
  <si>
    <t>AAW-520</t>
  </si>
  <si>
    <t>LIG-440</t>
  </si>
  <si>
    <t>Audi A3</t>
  </si>
  <si>
    <t>FSV-125</t>
  </si>
  <si>
    <t>RSX-844</t>
  </si>
  <si>
    <t>Jaguar XJ</t>
  </si>
  <si>
    <t>AUK-108</t>
  </si>
  <si>
    <t>WLK-100</t>
  </si>
  <si>
    <t>IRF-014</t>
  </si>
  <si>
    <t>JMS-051</t>
  </si>
  <si>
    <t>Skoda Superb</t>
  </si>
  <si>
    <t>ZTS-446</t>
  </si>
  <si>
    <t>BEH-120</t>
  </si>
  <si>
    <t>BSY-851</t>
  </si>
  <si>
    <t>EKR-064</t>
  </si>
  <si>
    <t>TMH-386</t>
  </si>
  <si>
    <t>HOX-539</t>
  </si>
  <si>
    <t>BUY-359</t>
  </si>
  <si>
    <t>HPA-704</t>
  </si>
  <si>
    <t>YUF-368</t>
  </si>
  <si>
    <t>Audi A4</t>
  </si>
  <si>
    <t>JNV-031</t>
  </si>
  <si>
    <t>GQQ-394</t>
  </si>
  <si>
    <t>AKD-565</t>
  </si>
  <si>
    <t>RYN-380</t>
  </si>
  <si>
    <t>RHL-469</t>
  </si>
  <si>
    <t>TXD-461</t>
  </si>
  <si>
    <t>Jaguar XF</t>
  </si>
  <si>
    <t>LAD-215</t>
  </si>
  <si>
    <t>IXP-392</t>
  </si>
  <si>
    <t>HBE-391</t>
  </si>
  <si>
    <t>WEZ-675</t>
  </si>
  <si>
    <t>ZPQ-733</t>
  </si>
  <si>
    <t>YSQ-468</t>
  </si>
  <si>
    <t>JSF-047</t>
  </si>
  <si>
    <t>KSE-971</t>
  </si>
  <si>
    <t>ZRJ-593</t>
  </si>
  <si>
    <t>LFL-867</t>
  </si>
  <si>
    <t>Volkswagen Golf</t>
  </si>
  <si>
    <t>KEB-400</t>
  </si>
  <si>
    <t>URR-404</t>
  </si>
  <si>
    <t>QLT-781</t>
  </si>
  <si>
    <t>ECO-657</t>
  </si>
  <si>
    <t>IGX-960</t>
  </si>
  <si>
    <t>Skoda Octavia</t>
  </si>
  <si>
    <t>ECQ-692</t>
  </si>
  <si>
    <t>NAX-299</t>
  </si>
  <si>
    <t>BND-497</t>
  </si>
  <si>
    <t>LBX-793</t>
  </si>
  <si>
    <t>THS-050</t>
  </si>
  <si>
    <t>IMI-566</t>
  </si>
  <si>
    <t>SUX-856</t>
  </si>
  <si>
    <t>APD-659</t>
  </si>
  <si>
    <t>MDL-513</t>
  </si>
  <si>
    <t>IGI-371</t>
  </si>
  <si>
    <t>PLS-408</t>
  </si>
  <si>
    <t>HSH-621</t>
  </si>
  <si>
    <t>TVI-058</t>
  </si>
  <si>
    <t>XIE-101</t>
  </si>
  <si>
    <t>javítás AZ</t>
  </si>
  <si>
    <t>szervizbe</t>
  </si>
  <si>
    <t>sajáthibás</t>
  </si>
  <si>
    <t>nettó</t>
  </si>
  <si>
    <t>szerviz</t>
  </si>
  <si>
    <t>Comfort Car</t>
  </si>
  <si>
    <t>Tóth Autó</t>
  </si>
  <si>
    <t>Budai Autójavító</t>
  </si>
  <si>
    <t>Kerekes Szerviz</t>
  </si>
  <si>
    <t>(mind)</t>
  </si>
  <si>
    <t>javítások száma</t>
  </si>
  <si>
    <t>P-001</t>
  </si>
  <si>
    <t>P-002</t>
  </si>
  <si>
    <t>É-003</t>
  </si>
  <si>
    <t>P-004</t>
  </si>
  <si>
    <t>É-005</t>
  </si>
  <si>
    <t>É-006</t>
  </si>
  <si>
    <t>P-007</t>
  </si>
  <si>
    <t>A-008</t>
  </si>
  <si>
    <t>P-009</t>
  </si>
  <si>
    <t>P-010</t>
  </si>
  <si>
    <t>P-011</t>
  </si>
  <si>
    <t>A-012</t>
  </si>
  <si>
    <t>A-013</t>
  </si>
  <si>
    <t>E-014</t>
  </si>
  <si>
    <t>É-015</t>
  </si>
  <si>
    <t>B-016</t>
  </si>
  <si>
    <t>B-017</t>
  </si>
  <si>
    <t>B-018</t>
  </si>
  <si>
    <t>É-019</t>
  </si>
  <si>
    <t>É-020</t>
  </si>
  <si>
    <t>P-021</t>
  </si>
  <si>
    <t>E-022</t>
  </si>
  <si>
    <t>P-023</t>
  </si>
  <si>
    <t>P-024</t>
  </si>
  <si>
    <t>É-025</t>
  </si>
  <si>
    <t>É-026</t>
  </si>
  <si>
    <t>E-027</t>
  </si>
  <si>
    <t>É-028</t>
  </si>
  <si>
    <t>B-029</t>
  </si>
  <si>
    <t>P-030</t>
  </si>
  <si>
    <t>É-031</t>
  </si>
  <si>
    <t>P-032</t>
  </si>
  <si>
    <t>P-033</t>
  </si>
  <si>
    <t>B-034</t>
  </si>
  <si>
    <t>E-035</t>
  </si>
  <si>
    <t>A-036</t>
  </si>
  <si>
    <t>E-037</t>
  </si>
  <si>
    <t>E-038</t>
  </si>
  <si>
    <t>É-039</t>
  </si>
  <si>
    <t>B-040</t>
  </si>
  <si>
    <t>E-041</t>
  </si>
  <si>
    <t>E-042</t>
  </si>
  <si>
    <t>E-043</t>
  </si>
  <si>
    <t>B-044</t>
  </si>
  <si>
    <t>É-045</t>
  </si>
  <si>
    <t>E-046</t>
  </si>
  <si>
    <t>É-047</t>
  </si>
  <si>
    <t>B-048</t>
  </si>
  <si>
    <t>E-049</t>
  </si>
  <si>
    <t>P-050</t>
  </si>
  <si>
    <t>P-051</t>
  </si>
  <si>
    <t>B-052</t>
  </si>
  <si>
    <t>P-053</t>
  </si>
  <si>
    <t>E-054</t>
  </si>
  <si>
    <t>P-055</t>
  </si>
  <si>
    <t>B-056</t>
  </si>
  <si>
    <t>B-057</t>
  </si>
  <si>
    <t>B-058</t>
  </si>
  <si>
    <t>P-059</t>
  </si>
  <si>
    <t>E-060</t>
  </si>
  <si>
    <t>É-061</t>
  </si>
  <si>
    <t>B-062</t>
  </si>
  <si>
    <t>É-063</t>
  </si>
  <si>
    <t>B-064</t>
  </si>
  <si>
    <t>B-065</t>
  </si>
  <si>
    <t>A-066</t>
  </si>
  <si>
    <t>B-067</t>
  </si>
  <si>
    <t>P-068</t>
  </si>
  <si>
    <t>É-069</t>
  </si>
  <si>
    <t>P-070</t>
  </si>
  <si>
    <t>E-071</t>
  </si>
  <si>
    <t>E-072</t>
  </si>
  <si>
    <t>É-073</t>
  </si>
  <si>
    <t>P-074</t>
  </si>
  <si>
    <t>B-075</t>
  </si>
  <si>
    <t>A-076</t>
  </si>
  <si>
    <t>A-077</t>
  </si>
  <si>
    <t>B-078</t>
  </si>
  <si>
    <t>P-079</t>
  </si>
  <si>
    <t>É-080</t>
  </si>
  <si>
    <t>B-081</t>
  </si>
  <si>
    <t>É-082</t>
  </si>
  <si>
    <t>P-083</t>
  </si>
  <si>
    <t>P-084</t>
  </si>
  <si>
    <t>P-085</t>
  </si>
  <si>
    <t>E-086</t>
  </si>
  <si>
    <t>E-087</t>
  </si>
  <si>
    <t>A-088</t>
  </si>
  <si>
    <t>É-089</t>
  </si>
  <si>
    <t>B-090</t>
  </si>
  <si>
    <t>É-091</t>
  </si>
  <si>
    <t>P-092</t>
  </si>
  <si>
    <t>É-093</t>
  </si>
  <si>
    <t>B-094</t>
  </si>
  <si>
    <t>P-095</t>
  </si>
  <si>
    <t>B-096</t>
  </si>
  <si>
    <t>P-097</t>
  </si>
  <si>
    <t>E-098</t>
  </si>
  <si>
    <t>É-099</t>
  </si>
  <si>
    <t>E-100</t>
  </si>
  <si>
    <t>E-101</t>
  </si>
  <si>
    <t>A-102</t>
  </si>
  <si>
    <t>É-103</t>
  </si>
  <si>
    <t>P-104</t>
  </si>
  <si>
    <t>E-105</t>
  </si>
  <si>
    <t>E-106</t>
  </si>
  <si>
    <t>A-107</t>
  </si>
  <si>
    <t>E-108</t>
  </si>
  <si>
    <t>S-109</t>
  </si>
  <si>
    <t>B-110</t>
  </si>
  <si>
    <t>B-111</t>
  </si>
  <si>
    <t>É-112</t>
  </si>
  <si>
    <t>B-113</t>
  </si>
  <si>
    <t>P-114</t>
  </si>
  <si>
    <t>É-115</t>
  </si>
  <si>
    <t>B-116</t>
  </si>
  <si>
    <t>E-117</t>
  </si>
  <si>
    <t>É-118</t>
  </si>
  <si>
    <t>E-119</t>
  </si>
  <si>
    <t>E-120</t>
  </si>
  <si>
    <t>B-121</t>
  </si>
  <si>
    <t>É-122</t>
  </si>
  <si>
    <t>B-123</t>
  </si>
  <si>
    <t>É-124</t>
  </si>
  <si>
    <t>B-125</t>
  </si>
  <si>
    <t>A-126</t>
  </si>
  <si>
    <t>B-127</t>
  </si>
  <si>
    <t>P-128</t>
  </si>
  <si>
    <t>E-129</t>
  </si>
  <si>
    <t>A-130</t>
  </si>
  <si>
    <t>B-131</t>
  </si>
  <si>
    <t>B-132</t>
  </si>
  <si>
    <t>P-133</t>
  </si>
  <si>
    <t>P-134</t>
  </si>
  <si>
    <t>B-135</t>
  </si>
  <si>
    <t>B-136</t>
  </si>
  <si>
    <t>É-137</t>
  </si>
  <si>
    <t>P-138</t>
  </si>
  <si>
    <t>B-139</t>
  </si>
  <si>
    <t>É-140</t>
  </si>
  <si>
    <t>P-141</t>
  </si>
  <si>
    <t>P-142</t>
  </si>
  <si>
    <t>E-143</t>
  </si>
  <si>
    <t>É-144</t>
  </si>
  <si>
    <t>E-145</t>
  </si>
  <si>
    <t>A-146</t>
  </si>
  <si>
    <t>B-147</t>
  </si>
  <si>
    <t>P-148</t>
  </si>
  <si>
    <t>B-149</t>
  </si>
  <si>
    <t>E-150</t>
  </si>
  <si>
    <t>A-151</t>
  </si>
  <si>
    <t>B-152</t>
  </si>
  <si>
    <t>P-153</t>
  </si>
  <si>
    <t>P-154</t>
  </si>
  <si>
    <t>P-155</t>
  </si>
  <si>
    <t>P-156</t>
  </si>
  <si>
    <t>A-157</t>
  </si>
  <si>
    <t>A-158</t>
  </si>
  <si>
    <t>É-159</t>
  </si>
  <si>
    <t>B-160</t>
  </si>
  <si>
    <t>P-161</t>
  </si>
  <si>
    <t>P-162</t>
  </si>
  <si>
    <t>B-163</t>
  </si>
  <si>
    <t>E-164</t>
  </si>
  <si>
    <t>P-165</t>
  </si>
  <si>
    <t>A-166</t>
  </si>
  <si>
    <t>B-167</t>
  </si>
  <si>
    <t>É-168</t>
  </si>
  <si>
    <t>P-169</t>
  </si>
  <si>
    <t>B-170</t>
  </si>
  <si>
    <t>B-171</t>
  </si>
  <si>
    <t>A-172</t>
  </si>
  <si>
    <t>É-173</t>
  </si>
  <si>
    <t>É-174</t>
  </si>
  <si>
    <t>P-175</t>
  </si>
  <si>
    <t>E-176</t>
  </si>
  <si>
    <t>A-177</t>
  </si>
  <si>
    <t>A-178</t>
  </si>
  <si>
    <t>É-179</t>
  </si>
  <si>
    <t>P-180</t>
  </si>
  <si>
    <t>P-181</t>
  </si>
  <si>
    <t>P-182</t>
  </si>
  <si>
    <t>P-183</t>
  </si>
  <si>
    <t>É-184</t>
  </si>
  <si>
    <t>A-185</t>
  </si>
  <si>
    <t>É-186</t>
  </si>
  <si>
    <t>P-187</t>
  </si>
  <si>
    <t>A-188</t>
  </si>
  <si>
    <t>P-189</t>
  </si>
  <si>
    <t>E-190</t>
  </si>
  <si>
    <t>T-191</t>
  </si>
  <si>
    <t>P-192</t>
  </si>
  <si>
    <t>P-193</t>
  </si>
  <si>
    <t>P-194</t>
  </si>
  <si>
    <t>B-195</t>
  </si>
  <si>
    <t>É-196</t>
  </si>
  <si>
    <t>B-197</t>
  </si>
  <si>
    <t>B-198</t>
  </si>
  <si>
    <t>É-199</t>
  </si>
  <si>
    <t>B-200</t>
  </si>
  <si>
    <t>É-201</t>
  </si>
  <si>
    <t>E-202</t>
  </si>
  <si>
    <t>B-203</t>
  </si>
  <si>
    <t>P-204</t>
  </si>
  <si>
    <t>E-205</t>
  </si>
  <si>
    <t>A-206</t>
  </si>
  <si>
    <t>A-207</t>
  </si>
  <si>
    <t>B-208</t>
  </si>
  <si>
    <t>P-209</t>
  </si>
  <si>
    <t>P-210</t>
  </si>
  <si>
    <t>A-211</t>
  </si>
  <si>
    <t>S-212</t>
  </si>
  <si>
    <t>A-213</t>
  </si>
  <si>
    <t>B-214</t>
  </si>
  <si>
    <t>E-215</t>
  </si>
  <si>
    <t>B-216</t>
  </si>
  <si>
    <t>É-217</t>
  </si>
  <si>
    <t>É-218</t>
  </si>
  <si>
    <t>É-219</t>
  </si>
  <si>
    <t>P-220</t>
  </si>
  <si>
    <t>P-221</t>
  </si>
  <si>
    <t>E-222</t>
  </si>
  <si>
    <t>É-223</t>
  </si>
  <si>
    <t>P-224</t>
  </si>
  <si>
    <t>B-225</t>
  </si>
  <si>
    <t>P-226</t>
  </si>
  <si>
    <t>A-227</t>
  </si>
  <si>
    <t>P-228</t>
  </si>
  <si>
    <t>É-229</t>
  </si>
  <si>
    <t>B-230</t>
  </si>
  <si>
    <t>P-231</t>
  </si>
  <si>
    <t>P-232</t>
  </si>
  <si>
    <t>É-233</t>
  </si>
  <si>
    <t>E-234</t>
  </si>
  <si>
    <t>P-235</t>
  </si>
  <si>
    <t>A-236</t>
  </si>
  <si>
    <t>B-237</t>
  </si>
  <si>
    <t>E-238</t>
  </si>
  <si>
    <t>B-239</t>
  </si>
  <si>
    <t>B-240</t>
  </si>
  <si>
    <t>A-241</t>
  </si>
  <si>
    <t>É-242</t>
  </si>
  <si>
    <t>B-243</t>
  </si>
  <si>
    <t>P-244</t>
  </si>
  <si>
    <t>E-245</t>
  </si>
  <si>
    <t>B-246</t>
  </si>
  <si>
    <t>P-247</t>
  </si>
  <si>
    <t>E-248</t>
  </si>
  <si>
    <t>É-249</t>
  </si>
  <si>
    <t>P-250</t>
  </si>
  <si>
    <t>B-251</t>
  </si>
  <si>
    <t>P-252</t>
  </si>
  <si>
    <t>E-253</t>
  </si>
  <si>
    <t>A-254</t>
  </si>
  <si>
    <t>E-255</t>
  </si>
  <si>
    <t>E-256</t>
  </si>
  <si>
    <t>P-257</t>
  </si>
  <si>
    <t>É-258</t>
  </si>
  <si>
    <t>S-259</t>
  </si>
  <si>
    <t>A-260</t>
  </si>
  <si>
    <t>É-261</t>
  </si>
  <si>
    <t>P-262</t>
  </si>
  <si>
    <t>B-263</t>
  </si>
  <si>
    <t>É-264</t>
  </si>
  <si>
    <t>E-265</t>
  </si>
  <si>
    <t>A-266</t>
  </si>
  <si>
    <t>É-267</t>
  </si>
  <si>
    <t>É-268</t>
  </si>
  <si>
    <t>A-269</t>
  </si>
  <si>
    <t>A-270</t>
  </si>
  <si>
    <t>P-271</t>
  </si>
  <si>
    <t>B-272</t>
  </si>
  <si>
    <t>P-273</t>
  </si>
  <si>
    <t>É-274</t>
  </si>
  <si>
    <t>P-275</t>
  </si>
  <si>
    <t>P-276</t>
  </si>
  <si>
    <t>A-277</t>
  </si>
  <si>
    <t>E-278</t>
  </si>
  <si>
    <t>E-279</t>
  </si>
  <si>
    <t>P-280</t>
  </si>
  <si>
    <t>B-281</t>
  </si>
  <si>
    <t>E-282</t>
  </si>
  <si>
    <t>P-283</t>
  </si>
  <si>
    <t>A-284</t>
  </si>
  <si>
    <t>T-285</t>
  </si>
  <si>
    <t>B-286</t>
  </si>
  <si>
    <t>É-287</t>
  </si>
  <si>
    <t>É-288</t>
  </si>
  <si>
    <t>E-289</t>
  </si>
  <si>
    <t>B-290</t>
  </si>
  <si>
    <t>B-291</t>
  </si>
  <si>
    <t>B-292</t>
  </si>
  <si>
    <t>E-293</t>
  </si>
  <si>
    <t>B-294</t>
  </si>
  <si>
    <t>B-295</t>
  </si>
  <si>
    <t>E-296</t>
  </si>
  <si>
    <t>S-297</t>
  </si>
  <si>
    <t>B-298</t>
  </si>
  <si>
    <t>É-299</t>
  </si>
  <si>
    <t>S-300</t>
  </si>
  <si>
    <t>A-301</t>
  </si>
  <si>
    <t>É-302</t>
  </si>
  <si>
    <t>B-303</t>
  </si>
  <si>
    <t>É-304</t>
  </si>
  <si>
    <t>P-305</t>
  </si>
  <si>
    <t>A-306</t>
  </si>
  <si>
    <t>A-307</t>
  </si>
  <si>
    <t>É-308</t>
  </si>
  <si>
    <t>É-309</t>
  </si>
  <si>
    <t>T-310</t>
  </si>
  <si>
    <t>B-311</t>
  </si>
  <si>
    <t>B-312</t>
  </si>
  <si>
    <t>E-313</t>
  </si>
  <si>
    <t>B-314</t>
  </si>
  <si>
    <t>S-315</t>
  </si>
  <si>
    <t>E-316</t>
  </si>
  <si>
    <t>P-317</t>
  </si>
  <si>
    <t>E-318</t>
  </si>
  <si>
    <t>B-319</t>
  </si>
  <si>
    <t>E-320</t>
  </si>
  <si>
    <t>B-321</t>
  </si>
  <si>
    <t>A-322</t>
  </si>
  <si>
    <t>É-323</t>
  </si>
  <si>
    <t>P-324</t>
  </si>
  <si>
    <t>T-325</t>
  </si>
  <si>
    <t>P-326</t>
  </si>
  <si>
    <t>A-327</t>
  </si>
  <si>
    <t>P-328</t>
  </si>
  <si>
    <t>P-329</t>
  </si>
  <si>
    <t>B-330</t>
  </si>
  <si>
    <t>P-331</t>
  </si>
  <si>
    <t>P-332</t>
  </si>
  <si>
    <t>B-333</t>
  </si>
  <si>
    <t>P-334</t>
  </si>
  <si>
    <t>A-335</t>
  </si>
  <si>
    <t>E-336</t>
  </si>
  <si>
    <t>P-337</t>
  </si>
  <si>
    <t>P-338</t>
  </si>
  <si>
    <t>E-339</t>
  </si>
  <si>
    <t>P-340</t>
  </si>
  <si>
    <t>P-341</t>
  </si>
  <si>
    <t>P-342</t>
  </si>
  <si>
    <t>P-343</t>
  </si>
  <si>
    <t>E-344</t>
  </si>
  <si>
    <t>B-345</t>
  </si>
  <si>
    <t>P-346</t>
  </si>
  <si>
    <t>É-347</t>
  </si>
  <si>
    <t>A-348</t>
  </si>
  <si>
    <t>A-349</t>
  </si>
  <si>
    <t>E-350</t>
  </si>
  <si>
    <t>P-351</t>
  </si>
  <si>
    <t>É-352</t>
  </si>
  <si>
    <t>P-353</t>
  </si>
  <si>
    <t>A-354</t>
  </si>
  <si>
    <t>P-355</t>
  </si>
  <si>
    <t>É-356</t>
  </si>
  <si>
    <t>B-357</t>
  </si>
  <si>
    <t>S-358</t>
  </si>
  <si>
    <t>S-359</t>
  </si>
  <si>
    <t>B-360</t>
  </si>
  <si>
    <t>P-361</t>
  </si>
  <si>
    <t>A-362</t>
  </si>
  <si>
    <t>A-363</t>
  </si>
  <si>
    <t>P-364</t>
  </si>
  <si>
    <t>A-365</t>
  </si>
  <si>
    <t>É-366</t>
  </si>
  <si>
    <t>P-367</t>
  </si>
  <si>
    <t>E-368</t>
  </si>
  <si>
    <t>É-369</t>
  </si>
  <si>
    <t>A-370</t>
  </si>
  <si>
    <t>P-371</t>
  </si>
  <si>
    <t>B-372</t>
  </si>
  <si>
    <t>B-373</t>
  </si>
  <si>
    <t>É-374</t>
  </si>
  <si>
    <t>É-375</t>
  </si>
  <si>
    <t>B-376</t>
  </si>
  <si>
    <t>E-377</t>
  </si>
  <si>
    <t>T-378</t>
  </si>
  <si>
    <t>B-379</t>
  </si>
  <si>
    <t>A-380</t>
  </si>
  <si>
    <t>P-381</t>
  </si>
  <si>
    <t>A-382</t>
  </si>
  <si>
    <t>B-383</t>
  </si>
  <si>
    <t>E-384</t>
  </si>
  <si>
    <t>P-385</t>
  </si>
  <si>
    <t>B-386</t>
  </si>
  <si>
    <t>E-387</t>
  </si>
  <si>
    <t>A-388</t>
  </si>
  <si>
    <t>B-389</t>
  </si>
  <si>
    <t>A-390</t>
  </si>
  <si>
    <t>É-391</t>
  </si>
  <si>
    <t>B-392</t>
  </si>
  <si>
    <t>A-393</t>
  </si>
  <si>
    <t>P-394</t>
  </si>
  <si>
    <t>P-395</t>
  </si>
  <si>
    <t>B-396</t>
  </si>
  <si>
    <t>B-397</t>
  </si>
  <si>
    <t>E-398</t>
  </si>
  <si>
    <t>É-399</t>
  </si>
  <si>
    <t>T-400</t>
  </si>
  <si>
    <t>S-401</t>
  </si>
  <si>
    <t>P-402</t>
  </si>
  <si>
    <t>P-403</t>
  </si>
  <si>
    <t>B-404</t>
  </si>
  <si>
    <t>A-405</t>
  </si>
  <si>
    <t>É-406</t>
  </si>
  <si>
    <t>É-407</t>
  </si>
  <si>
    <t>P-408</t>
  </si>
  <si>
    <t>É-409</t>
  </si>
  <si>
    <t>É-410</t>
  </si>
  <si>
    <t>P-411</t>
  </si>
  <si>
    <t>A-412</t>
  </si>
  <si>
    <t>P-413</t>
  </si>
  <si>
    <t>E-414</t>
  </si>
  <si>
    <t>B-415</t>
  </si>
  <si>
    <t>P-416</t>
  </si>
  <si>
    <t>P-417</t>
  </si>
  <si>
    <t>S-418</t>
  </si>
  <si>
    <t>É-419</t>
  </si>
  <si>
    <t>A-420</t>
  </si>
  <si>
    <t>E-421</t>
  </si>
  <si>
    <t>É-422</t>
  </si>
  <si>
    <t>E-423</t>
  </si>
  <si>
    <t>E-424</t>
  </si>
  <si>
    <t>A-425</t>
  </si>
  <si>
    <t>B-426</t>
  </si>
  <si>
    <t>S-427</t>
  </si>
  <si>
    <t>P-428</t>
  </si>
  <si>
    <t>A-429</t>
  </si>
  <si>
    <t>S-430</t>
  </si>
  <si>
    <t>B-431</t>
  </si>
  <si>
    <t>P-432</t>
  </si>
  <si>
    <t>E-433</t>
  </si>
  <si>
    <t>P-434</t>
  </si>
  <si>
    <t>E-435</t>
  </si>
  <si>
    <t>P-436</t>
  </si>
  <si>
    <t>B-437</t>
  </si>
  <si>
    <t>B-438</t>
  </si>
  <si>
    <t>P-439</t>
  </si>
  <si>
    <t>É-440</t>
  </si>
  <si>
    <t>S-441</t>
  </si>
  <si>
    <t xml:space="preserve">Ezt a pivot táblát az előző lapon álló, vállalati autók javításait </t>
  </si>
  <si>
    <t xml:space="preserve">tartalmazó, adatbázis-táblázat elemzésére hoztunk létre! </t>
  </si>
  <si>
    <t>elemző táblával azonos felépítésű, pivot táblát!</t>
  </si>
  <si>
    <r>
      <t xml:space="preserve">• Készítsünk a </t>
    </r>
    <r>
      <rPr>
        <b/>
        <sz val="9"/>
        <color theme="1"/>
        <rFont val="Calibri"/>
        <family val="2"/>
        <charset val="238"/>
        <scheme val="minor"/>
      </rPr>
      <t>szerviz</t>
    </r>
    <r>
      <rPr>
        <sz val="9"/>
        <color theme="1"/>
        <rFont val="Calibri"/>
        <family val="2"/>
        <charset val="238"/>
        <scheme val="minor"/>
      </rPr>
      <t xml:space="preserve"> mező minden tételének önálló, ezzel az </t>
    </r>
  </si>
  <si>
    <r>
      <t xml:space="preserve">A jobbra látható pivot tábla kezdemény az </t>
    </r>
    <r>
      <rPr>
        <b/>
        <sz val="9"/>
        <color rgb="FF000000"/>
        <rFont val="Calibri"/>
        <family val="2"/>
        <charset val="238"/>
        <scheme val="minor"/>
      </rPr>
      <t>ültetvények</t>
    </r>
    <r>
      <rPr>
        <sz val="9"/>
        <color rgb="FF000000"/>
        <rFont val="Calibri"/>
        <family val="2"/>
        <charset val="238"/>
        <scheme val="minor"/>
      </rPr>
      <t xml:space="preserve"> lapon álló, </t>
    </r>
    <r>
      <rPr>
        <b/>
        <sz val="9"/>
        <color rgb="FF000000"/>
        <rFont val="Calibri"/>
        <family val="2"/>
        <charset val="238"/>
        <scheme val="minor"/>
      </rPr>
      <t>szőlő</t>
    </r>
  </si>
  <si>
    <t>nevü adatbázis-táblzat, fehér szőlőinek elemzésére hoztuk létre! A neve</t>
  </si>
  <si>
    <r>
      <t>fehér_szőlők</t>
    </r>
    <r>
      <rPr>
        <sz val="9"/>
        <color rgb="FF000000"/>
        <rFont val="Calibri"/>
        <family val="2"/>
        <charset val="238"/>
        <scheme val="minor"/>
      </rPr>
      <t xml:space="preserve">. • Készítsünk számított mezőt </t>
    </r>
    <r>
      <rPr>
        <b/>
        <sz val="9"/>
        <color rgb="FF000000"/>
        <rFont val="Calibri"/>
        <family val="2"/>
        <charset val="238"/>
        <scheme val="minor"/>
      </rPr>
      <t>tőkék</t>
    </r>
    <r>
      <rPr>
        <sz val="9"/>
        <color rgb="FF000000"/>
        <rFont val="Calibri"/>
        <family val="2"/>
        <charset val="238"/>
        <scheme val="minor"/>
      </rPr>
      <t xml:space="preserve"> néven, amely kiszámolja</t>
    </r>
  </si>
  <si>
    <t>hány ezer tőke áll a hektárban megadott területeken! Egy hektárra nyolc-</t>
  </si>
  <si>
    <t>ezer tőkét számítsunk! • Az automatikus statisztikai mező neve legyen</t>
  </si>
  <si>
    <r>
      <t>ezer tőke</t>
    </r>
    <r>
      <rPr>
        <sz val="9"/>
        <color rgb="FF000000"/>
        <rFont val="Calibri"/>
        <family val="2"/>
        <charset val="238"/>
        <scheme val="minor"/>
      </rPr>
      <t>! A statisztikai értékek számjegyei ezres csoportosításban jelen-</t>
    </r>
  </si>
  <si>
    <t>jenek meg!</t>
  </si>
  <si>
    <t>Hozzunk létre egy olyan pivot táblát, amely ezzel a pivot táblával azonos</t>
  </si>
  <si>
    <t>felépítésű, de a vörös szölőtőkék számát mutatja és egy külső szűrő segít-</t>
  </si>
  <si>
    <r>
      <t xml:space="preserve">ségével együtt lehet szűrni őket a </t>
    </r>
    <r>
      <rPr>
        <b/>
        <sz val="9"/>
        <color rgb="FF000000"/>
        <rFont val="Calibri"/>
        <family val="2"/>
        <charset val="238"/>
        <scheme val="minor"/>
      </rPr>
      <t>borrégió</t>
    </r>
    <r>
      <rPr>
        <sz val="9"/>
        <color rgb="FF000000"/>
        <rFont val="Calibri"/>
        <family val="2"/>
        <charset val="238"/>
        <scheme val="minor"/>
      </rPr>
      <t xml:space="preserve"> mező tételeire!</t>
    </r>
  </si>
  <si>
    <r>
      <t xml:space="preserve">Készítsünk önálló pivot táblát a </t>
    </r>
    <r>
      <rPr>
        <b/>
        <sz val="9"/>
        <color rgb="FF000000"/>
        <rFont val="Calibri"/>
        <family val="2"/>
        <charset val="238"/>
        <scheme val="minor"/>
      </rPr>
      <t>szőlő</t>
    </r>
    <r>
      <rPr>
        <sz val="9"/>
        <color rgb="FF000000"/>
        <rFont val="Calibri"/>
        <family val="2"/>
        <charset val="238"/>
        <scheme val="minor"/>
      </rPr>
      <t xml:space="preserve"> adatbázis-táblázat elemzésére saját</t>
    </r>
  </si>
  <si>
    <r>
      <t xml:space="preserve">cache-sel! Hozzunk létre származtatott mezőt </t>
    </r>
    <r>
      <rPr>
        <b/>
        <sz val="9"/>
        <color rgb="FF000000"/>
        <rFont val="Calibri"/>
        <family val="2"/>
        <charset val="238"/>
        <scheme val="minor"/>
      </rPr>
      <t>termés</t>
    </r>
    <r>
      <rPr>
        <sz val="9"/>
        <color rgb="FF000000"/>
        <rFont val="Calibri"/>
        <family val="2"/>
        <charset val="238"/>
        <scheme val="minor"/>
      </rPr>
      <t xml:space="preserve"> néven a </t>
    </r>
    <r>
      <rPr>
        <b/>
        <sz val="9"/>
        <color rgb="FF000000"/>
        <rFont val="Calibri"/>
        <family val="2"/>
        <charset val="238"/>
        <scheme val="minor"/>
      </rPr>
      <t>szüret</t>
    </r>
    <r>
      <rPr>
        <sz val="9"/>
        <color rgb="FF000000"/>
        <rFont val="Calibri"/>
        <family val="2"/>
        <charset val="238"/>
        <scheme val="minor"/>
      </rPr>
      <t xml:space="preserve"> mező</t>
    </r>
  </si>
  <si>
    <t>tételeinek csoportosításával! Az új mező tételei augusztus, szeptember</t>
  </si>
  <si>
    <r>
      <t xml:space="preserve">és október legyenek! • Az elemző tábla sormezői a </t>
    </r>
    <r>
      <rPr>
        <b/>
        <sz val="9"/>
        <color rgb="FF000000"/>
        <rFont val="Calibri"/>
        <family val="2"/>
        <charset val="238"/>
        <scheme val="minor"/>
      </rPr>
      <t>termés</t>
    </r>
    <r>
      <rPr>
        <sz val="9"/>
        <color rgb="FF000000"/>
        <rFont val="Calibri"/>
        <family val="2"/>
        <charset val="238"/>
        <scheme val="minor"/>
      </rPr>
      <t xml:space="preserve"> és a </t>
    </r>
    <r>
      <rPr>
        <b/>
        <sz val="9"/>
        <color rgb="FF000000"/>
        <rFont val="Calibri"/>
        <family val="2"/>
        <charset val="238"/>
        <scheme val="minor"/>
      </rPr>
      <t>fajta</t>
    </r>
    <r>
      <rPr>
        <sz val="9"/>
        <color rgb="FF000000"/>
        <rFont val="Calibri"/>
        <family val="2"/>
        <charset val="238"/>
        <scheme val="minor"/>
      </rPr>
      <t xml:space="preserve"> legyenek,</t>
    </r>
  </si>
  <si>
    <t>ebben a sorrendben! • Hány ültetvényen termesztik az egyes szőlőfajtákat?</t>
  </si>
  <si>
    <r>
      <t xml:space="preserve">A statisztikai mező neve legyen </t>
    </r>
    <r>
      <rPr>
        <b/>
        <sz val="9"/>
        <color rgb="FF000000"/>
        <rFont val="Calibri"/>
        <family val="2"/>
        <charset val="238"/>
        <scheme val="minor"/>
      </rPr>
      <t>ültetvények száma</t>
    </r>
    <r>
      <rPr>
        <sz val="9"/>
        <color rgb="FF000000"/>
        <rFont val="Calibri"/>
        <family val="2"/>
        <charset val="238"/>
        <scheme val="minor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</si>
</sst>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HUF&quot;_-;\-* #,##0\ &quot;HUF&quot;_-;_-* &quot;-&quot;\ &quot;HUF&quot;_-;_-@_-"/>
    <numFmt numFmtId="164" formatCode="_-* #,##0\ _H_U_F_-;\-* #,##0\ _H_U_F_-;_-* &quot;-&quot;\ _H_U_F_-;_-@_-"/>
    <numFmt numFmtId="165" formatCode="yyyy\-mm\-dd"/>
    <numFmt numFmtId="166" formatCode="0000"/>
    <numFmt numFmtId="167" formatCode="#,##0\ [$HUF-40E];\-#,##0\ [$HUF-40E]"/>
  </numFmts>
  <fonts count="7" x14ac:knownFonts="1"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rgb="FFFFFFFF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/>
      <right/>
      <top/>
      <bottom style="thin">
        <color rgb="FFABABAB"/>
      </bottom>
      <diagonal/>
    </border>
    <border>
      <left/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3" fillId="0" borderId="0" xfId="0" applyFont="1"/>
    <xf numFmtId="0" fontId="2" fillId="0" borderId="3" xfId="0" applyFont="1" applyFill="1" applyBorder="1" applyAlignment="1"/>
    <xf numFmtId="0" fontId="0" fillId="0" borderId="0" xfId="0" applyFont="1" applyAlignment="1"/>
    <xf numFmtId="165" fontId="0" fillId="0" borderId="0" xfId="0" applyNumberFormat="1" applyFont="1" applyAlignme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Fill="1" applyBorder="1" applyAlignment="1"/>
    <xf numFmtId="166" fontId="0" fillId="0" borderId="0" xfId="0" applyNumberFormat="1" applyFont="1" applyAlignment="1"/>
    <xf numFmtId="165" fontId="0" fillId="0" borderId="0" xfId="0" applyNumberFormat="1" applyFont="1"/>
    <xf numFmtId="167" fontId="0" fillId="0" borderId="0" xfId="0" applyNumberFormat="1" applyFont="1" applyAlignment="1"/>
    <xf numFmtId="0" fontId="0" fillId="0" borderId="0" xfId="0" applyAlignment="1"/>
    <xf numFmtId="167" fontId="0" fillId="0" borderId="0" xfId="0" applyNumberFormat="1" applyFont="1"/>
    <xf numFmtId="167" fontId="6" fillId="0" borderId="0" xfId="0" applyNumberFormat="1" applyFont="1" applyAlignment="1"/>
    <xf numFmtId="0" fontId="0" fillId="0" borderId="0" xfId="0" applyNumberFormat="1"/>
    <xf numFmtId="0" fontId="0" fillId="0" borderId="4" xfId="0" pivotButton="1" applyBorder="1"/>
    <xf numFmtId="0" fontId="0" fillId="0" borderId="8" xfId="0" applyBorder="1"/>
    <xf numFmtId="0" fontId="0" fillId="0" borderId="4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10" xfId="0" pivotButton="1" applyBorder="1"/>
    <xf numFmtId="0" fontId="0" fillId="0" borderId="10" xfId="0" applyBorder="1"/>
    <xf numFmtId="0" fontId="0" fillId="0" borderId="11" xfId="0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0" xfId="0" pivotButton="1"/>
    <xf numFmtId="0" fontId="0" fillId="0" borderId="16" xfId="0" applyBorder="1"/>
    <xf numFmtId="0" fontId="0" fillId="0" borderId="16" xfId="0" pivotButton="1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">
    <cellStyle name="Ezres [0]" xfId="1" builtinId="6" hidden="1"/>
    <cellStyle name="Normál" xfId="0" builtinId="0"/>
    <cellStyle name="Normál 2" xfId="3" xr:uid="{00000000-0005-0000-0000-000002000000}"/>
    <cellStyle name="Pénznem [0]" xfId="2" builtinId="7" hidde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7" formatCode="#,##0\ [$HUF-40E];\-#,##0\ [$HUF-40E]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yyyy\-mm\-dd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yyyy\-mm\-dd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00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9BC2E6"/>
      <color rgb="FFB3DEFF"/>
      <color rgb="FFFFFFC5"/>
      <color rgb="FFFFE79B"/>
      <color rgb="FFFFF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61.766132523146" createdVersion="6" refreshedVersion="6" minRefreshableVersion="3" recordCount="441" xr:uid="{00000000-000A-0000-FFFF-FFFF0B000000}">
  <cacheSource type="worksheet">
    <worksheetSource name="szőlő"/>
  </cacheSource>
  <cacheFields count="7">
    <cacheField name="ültetvény AZ" numFmtId="0">
      <sharedItems/>
    </cacheField>
    <cacheField name="borrégió" numFmtId="0">
      <sharedItems/>
    </cacheField>
    <cacheField name="borvidék" numFmtId="0">
      <sharedItems/>
    </cacheField>
    <cacheField name="fajta" numFmtId="0">
      <sharedItems count="70">
        <s v="Kékfrankos"/>
        <s v="Zweigelt"/>
        <s v="Leányka"/>
        <s v="Rajnai rizling"/>
        <s v="Zenit"/>
        <s v="Szürkebarát"/>
        <s v="Syrah"/>
        <s v="Chardonnay"/>
        <s v="Blauburger"/>
        <s v="Merlot"/>
        <s v="Kadarka"/>
        <s v="Cabernet sauvignon"/>
        <s v="Olasz rizling"/>
        <s v="Cserszegi fűszeres"/>
        <s v="Pinot noir"/>
        <s v="Hárslevelű"/>
        <s v="Ottonel muskotály"/>
        <s v="Zengő"/>
        <s v="Zöld veltelíni"/>
        <s v="Cabernet franc"/>
        <s v="Karát"/>
        <s v="Zalagyöngye"/>
        <s v="Menoire"/>
        <s v="Sauvignon blanc"/>
        <s v="Vértes csillaga"/>
        <s v="Tramini"/>
        <s v="Zefír"/>
        <s v="Kék oportó"/>
        <s v="Sárga muskotály"/>
        <s v="Jubileum 75"/>
        <s v="Pinot blanc"/>
        <s v="Királyleányka"/>
        <s v="Juhfark"/>
        <s v="Ezerfürtű"/>
        <s v="Sagrantino"/>
        <s v="Bíbor kadarka"/>
        <s v="Zöld szilváni"/>
        <s v="Kunleány"/>
        <s v="Oraniensteiner"/>
        <s v="Nektár"/>
        <s v="Rubintos"/>
        <s v="Rizlingszilváni"/>
        <s v="Alibernet"/>
        <s v="Kövidinka"/>
        <s v="Zeus"/>
        <s v="Ezerjó"/>
        <s v="Turán"/>
        <s v="Rózsakő"/>
        <s v="Irsai Olivér"/>
        <s v="Furmint"/>
        <s v="Dornfelder"/>
        <s v="Csomorika"/>
        <s v="Cirfandli"/>
        <s v="Csillám"/>
        <s v="Viognier"/>
        <s v="Kerner"/>
        <s v="Mátrai muskotály"/>
        <s v="Bianca"/>
        <s v="Vulcanus"/>
        <s v="Gyöngyrizling"/>
        <s v="Gohér"/>
        <s v="Semillon"/>
        <s v="Pintes"/>
        <s v="Tannat"/>
        <s v="Viktória gyöngye"/>
        <s v="Budai"/>
        <s v="Zéta"/>
        <s v="Scheurebe"/>
        <s v="Kéknyelű"/>
        <s v="Kövérszőlő"/>
      </sharedItems>
    </cacheField>
    <cacheField name="szín" numFmtId="0">
      <sharedItems count="2">
        <s v="vörös"/>
        <s v="fehér"/>
      </sharedItems>
    </cacheField>
    <cacheField name="szüret" numFmtId="0">
      <sharedItems/>
    </cacheField>
    <cacheField name="terület" numFmtId="0">
      <sharedItems containsSemiMixedTypes="0" containsString="0" containsNumber="1" containsInteger="1" minValue="20" maxValue="280"/>
    </cacheField>
  </cacheFields>
  <extLst>
    <ext xmlns:x14="http://schemas.microsoft.com/office/spreadsheetml/2009/9/main" uri="{725AE2AE-9491-48be-B2B4-4EB974FC3084}">
      <x14:pivotCacheDefinition pivotCacheId="211835337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erző" refreshedDate="43661.766524652776" createdVersion="6" refreshedVersion="6" minRefreshableVersion="3" recordCount="1078" xr:uid="{00000000-000A-0000-FFFF-FFFF0C000000}">
  <cacheSource type="worksheet">
    <worksheetSource name="javítások"/>
  </cacheSource>
  <cacheFields count="8">
    <cacheField name="javítás AZ" numFmtId="166">
      <sharedItems containsSemiMixedTypes="0" containsString="0" containsNumber="1" containsInteger="1" minValue="1" maxValue="1078"/>
    </cacheField>
    <cacheField name="típus" numFmtId="0">
      <sharedItems count="18">
        <s v="Citroen C3"/>
        <s v="Citroen C4"/>
        <s v="Volkswagen Polo"/>
        <s v="Land Rover Discovery"/>
        <s v="Skoda Fabia"/>
        <s v="Opel Astra"/>
        <s v="Opel Corsa"/>
        <s v="Seat Ibiza"/>
        <s v="Seat Leon"/>
        <s v="Peugeot 308"/>
        <s v="Audi A3"/>
        <s v="Jaguar XJ"/>
        <s v="Peugeot 301"/>
        <s v="Skoda Superb"/>
        <s v="Jaguar XF"/>
        <s v="Audi A4"/>
        <s v="Volkswagen Golf"/>
        <s v="Skoda Octavia"/>
      </sharedItems>
    </cacheField>
    <cacheField name="rendszám" numFmtId="0">
      <sharedItems/>
    </cacheField>
    <cacheField name="osztály" numFmtId="0">
      <sharedItems count="5">
        <s v="ellenőrzési"/>
        <s v="pénzügyi"/>
        <s v="igazgatóság"/>
        <s v="beruházási"/>
        <s v="jogi"/>
      </sharedItems>
    </cacheField>
    <cacheField name="szervizbe" numFmtId="165">
      <sharedItems containsSemiMixedTypes="0" containsNonDate="0" containsDate="1" containsString="0" minDate="2009-06-27T00:00:00" maxDate="2019-07-04T00:00:00"/>
    </cacheField>
    <cacheField name="sajáthibás" numFmtId="165">
      <sharedItems count="2">
        <b v="1"/>
        <b v="0"/>
      </sharedItems>
    </cacheField>
    <cacheField name="nettó" numFmtId="167">
      <sharedItems containsSemiMixedTypes="0" containsString="0" containsNumber="1" containsInteger="1" minValue="235100" maxValue="1094400"/>
    </cacheField>
    <cacheField name="szerviz" numFmtId="0">
      <sharedItems count="4">
        <s v="Comfort Car"/>
        <s v="Tóth Autó"/>
        <s v="Budai Autójavító"/>
        <s v="Kerekes Szerviz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1">
  <r>
    <s v="P-001"/>
    <s v="Pannon"/>
    <s v="Villányi"/>
    <x v="0"/>
    <x v="0"/>
    <s v="szept. vége"/>
    <n v="90"/>
  </r>
  <r>
    <s v="P-002"/>
    <s v="Pannon"/>
    <s v="Pécsi"/>
    <x v="1"/>
    <x v="0"/>
    <s v="szept. vége"/>
    <n v="30"/>
  </r>
  <r>
    <s v="É-003"/>
    <s v="Észak-Dunántúli"/>
    <s v="Móri"/>
    <x v="2"/>
    <x v="1"/>
    <s v="szept. vége"/>
    <n v="130"/>
  </r>
  <r>
    <s v="P-004"/>
    <s v="Pannon"/>
    <s v="Pécsi"/>
    <x v="3"/>
    <x v="1"/>
    <s v="okt. eleje"/>
    <n v="20"/>
  </r>
  <r>
    <s v="É-005"/>
    <s v="Észak-Dunántúli"/>
    <s v="Neszmélyi"/>
    <x v="4"/>
    <x v="1"/>
    <s v="szept. eleje"/>
    <n v="60"/>
  </r>
  <r>
    <s v="É-006"/>
    <s v="Észak-Dunántúli"/>
    <s v="Neszmélyi"/>
    <x v="5"/>
    <x v="1"/>
    <s v="szept. közepe"/>
    <n v="60"/>
  </r>
  <r>
    <s v="P-007"/>
    <s v="Pannon"/>
    <s v="Szekszárdi"/>
    <x v="6"/>
    <x v="0"/>
    <s v="okt. közepe"/>
    <n v="60"/>
  </r>
  <r>
    <s v="A-008"/>
    <s v="Alföld (Duna)"/>
    <s v="Hajós-Bajai"/>
    <x v="7"/>
    <x v="1"/>
    <s v="szept. közepe"/>
    <n v="60"/>
  </r>
  <r>
    <s v="P-009"/>
    <s v="Pannon"/>
    <s v="Szekszárdi"/>
    <x v="8"/>
    <x v="0"/>
    <s v="okt. közepe"/>
    <n v="70"/>
  </r>
  <r>
    <s v="P-010"/>
    <s v="Pannon"/>
    <s v="Tolnai"/>
    <x v="9"/>
    <x v="0"/>
    <s v="okt. eleje"/>
    <n v="90"/>
  </r>
  <r>
    <s v="P-011"/>
    <s v="Pannon"/>
    <s v="Villányi"/>
    <x v="9"/>
    <x v="0"/>
    <s v="okt. eleje"/>
    <n v="80"/>
  </r>
  <r>
    <s v="A-012"/>
    <s v="Alföld (Duna)"/>
    <s v="Kunsági"/>
    <x v="10"/>
    <x v="0"/>
    <s v="okt. közepe"/>
    <n v="270"/>
  </r>
  <r>
    <s v="A-013"/>
    <s v="Alföld (Duna)"/>
    <s v="Hajós-Bajai"/>
    <x v="11"/>
    <x v="0"/>
    <s v="okt. eleje"/>
    <n v="70"/>
  </r>
  <r>
    <s v="E-014"/>
    <s v="Eger"/>
    <s v="Bükki"/>
    <x v="8"/>
    <x v="0"/>
    <s v="okt. közepe"/>
    <n v="110"/>
  </r>
  <r>
    <s v="É-015"/>
    <s v="Észak-Dunántúli"/>
    <s v="Etyek-Budai"/>
    <x v="12"/>
    <x v="1"/>
    <s v="okt. közepe"/>
    <n v="60"/>
  </r>
  <r>
    <s v="B-016"/>
    <s v="Balaton"/>
    <s v="Zalai"/>
    <x v="0"/>
    <x v="0"/>
    <s v="szept. vége"/>
    <n v="70"/>
  </r>
  <r>
    <s v="B-017"/>
    <s v="Balaton"/>
    <s v="Balaton-felvidéki"/>
    <x v="5"/>
    <x v="1"/>
    <s v="szept. közepe"/>
    <n v="190"/>
  </r>
  <r>
    <s v="B-018"/>
    <s v="Balaton"/>
    <s v="Zalai"/>
    <x v="13"/>
    <x v="1"/>
    <s v="szept. közepe"/>
    <n v="70"/>
  </r>
  <r>
    <s v="É-019"/>
    <s v="Észak-Dunántúli"/>
    <s v="Neszmélyi"/>
    <x v="14"/>
    <x v="0"/>
    <s v="szept. vége"/>
    <n v="70"/>
  </r>
  <r>
    <s v="É-020"/>
    <s v="Észak-Dunántúli"/>
    <s v="Pannonhalmi"/>
    <x v="0"/>
    <x v="0"/>
    <s v="szept. vége"/>
    <n v="20"/>
  </r>
  <r>
    <s v="P-021"/>
    <s v="Pannon"/>
    <s v="Villányi"/>
    <x v="15"/>
    <x v="1"/>
    <s v="okt. vége"/>
    <n v="80"/>
  </r>
  <r>
    <s v="E-022"/>
    <s v="Eger"/>
    <s v="Egri"/>
    <x v="16"/>
    <x v="1"/>
    <s v="szept. eleje"/>
    <n v="190"/>
  </r>
  <r>
    <s v="P-023"/>
    <s v="Pannon"/>
    <s v="Tolnai"/>
    <x v="17"/>
    <x v="1"/>
    <s v="szept. közepe"/>
    <n v="80"/>
  </r>
  <r>
    <s v="P-024"/>
    <s v="Pannon"/>
    <s v="Tolnai"/>
    <x v="18"/>
    <x v="1"/>
    <s v="szept. vége"/>
    <n v="80"/>
  </r>
  <r>
    <s v="É-025"/>
    <s v="Észak-Dunántúli"/>
    <s v="Neszmélyi"/>
    <x v="3"/>
    <x v="1"/>
    <s v="okt. eleje"/>
    <n v="70"/>
  </r>
  <r>
    <s v="É-026"/>
    <s v="Észak-Dunántúli"/>
    <s v="Etyek-Budai"/>
    <x v="19"/>
    <x v="0"/>
    <s v="okt. eleje"/>
    <n v="60"/>
  </r>
  <r>
    <s v="E-027"/>
    <s v="Eger"/>
    <s v="Bükki"/>
    <x v="13"/>
    <x v="1"/>
    <s v="szept. közepe"/>
    <n v="100"/>
  </r>
  <r>
    <s v="É-028"/>
    <s v="Észak-Dunántúli"/>
    <s v="Etyek-Budai"/>
    <x v="20"/>
    <x v="1"/>
    <s v="okt. eleje"/>
    <n v="50"/>
  </r>
  <r>
    <s v="B-029"/>
    <s v="Balaton"/>
    <s v="Balatonboglári"/>
    <x v="21"/>
    <x v="1"/>
    <s v="szept. közepe"/>
    <n v="90"/>
  </r>
  <r>
    <s v="P-030"/>
    <s v="Pannon"/>
    <s v="Tolnai"/>
    <x v="22"/>
    <x v="0"/>
    <s v="szept. eleje"/>
    <n v="80"/>
  </r>
  <r>
    <s v="É-031"/>
    <s v="Észak-Dunántúli"/>
    <s v="Pannonhalmi"/>
    <x v="7"/>
    <x v="1"/>
    <s v="szept. közepe"/>
    <n v="20"/>
  </r>
  <r>
    <s v="P-032"/>
    <s v="Pannon"/>
    <s v="Tolnai"/>
    <x v="8"/>
    <x v="0"/>
    <s v="okt. közepe"/>
    <n v="80"/>
  </r>
  <r>
    <s v="P-033"/>
    <s v="Pannon"/>
    <s v="Villányi"/>
    <x v="5"/>
    <x v="1"/>
    <s v="szept. közepe"/>
    <n v="90"/>
  </r>
  <r>
    <s v="B-034"/>
    <s v="Balaton"/>
    <s v="Balatonboglári"/>
    <x v="9"/>
    <x v="0"/>
    <s v="okt. eleje"/>
    <n v="100"/>
  </r>
  <r>
    <s v="E-035"/>
    <s v="Eger"/>
    <s v="Bükki"/>
    <x v="18"/>
    <x v="1"/>
    <s v="szept. vége"/>
    <n v="100"/>
  </r>
  <r>
    <s v="A-036"/>
    <s v="Alföld (Duna)"/>
    <s v="Csongrádi"/>
    <x v="21"/>
    <x v="1"/>
    <s v="szept. közepe"/>
    <n v="80"/>
  </r>
  <r>
    <s v="E-037"/>
    <s v="Eger"/>
    <s v="Egri"/>
    <x v="7"/>
    <x v="1"/>
    <s v="szept. közepe"/>
    <n v="190"/>
  </r>
  <r>
    <s v="E-038"/>
    <s v="Eger"/>
    <s v="Mátrai"/>
    <x v="23"/>
    <x v="1"/>
    <s v="szept. vége"/>
    <n v="220"/>
  </r>
  <r>
    <s v="É-039"/>
    <s v="Észak-Dunántúli"/>
    <s v="Neszmélyi"/>
    <x v="24"/>
    <x v="1"/>
    <s v="szept. vége"/>
    <n v="60"/>
  </r>
  <r>
    <s v="B-040"/>
    <s v="Balaton"/>
    <s v="Badacsonyi"/>
    <x v="15"/>
    <x v="1"/>
    <s v="okt. vége"/>
    <n v="80"/>
  </r>
  <r>
    <s v="E-041"/>
    <s v="Eger"/>
    <s v="Egri"/>
    <x v="25"/>
    <x v="1"/>
    <s v="szept. vége"/>
    <n v="180"/>
  </r>
  <r>
    <s v="E-042"/>
    <s v="Eger"/>
    <s v="Mátrai"/>
    <x v="26"/>
    <x v="1"/>
    <s v="aug. vége"/>
    <n v="210"/>
  </r>
  <r>
    <s v="E-043"/>
    <s v="Eger"/>
    <s v="Egri"/>
    <x v="27"/>
    <x v="0"/>
    <s v="szept. eleje"/>
    <n v="190"/>
  </r>
  <r>
    <s v="B-044"/>
    <s v="Balaton"/>
    <s v="Badacsonyi"/>
    <x v="28"/>
    <x v="1"/>
    <s v="okt. eleje"/>
    <n v="70"/>
  </r>
  <r>
    <s v="É-045"/>
    <s v="Észak-Dunántúli"/>
    <s v="Pannonhalmi"/>
    <x v="25"/>
    <x v="1"/>
    <s v="szept. vége"/>
    <n v="30"/>
  </r>
  <r>
    <s v="E-046"/>
    <s v="Eger"/>
    <s v="Mátrai"/>
    <x v="29"/>
    <x v="1"/>
    <s v="okt. eleje"/>
    <n v="210"/>
  </r>
  <r>
    <s v="É-047"/>
    <s v="Észak-Dunántúli"/>
    <s v="Pannonhalmi"/>
    <x v="13"/>
    <x v="1"/>
    <s v="szept. közepe"/>
    <n v="30"/>
  </r>
  <r>
    <s v="B-048"/>
    <s v="Balaton"/>
    <s v="Zalai"/>
    <x v="4"/>
    <x v="1"/>
    <s v="szept. eleje"/>
    <n v="80"/>
  </r>
  <r>
    <s v="E-049"/>
    <s v="Eger"/>
    <s v="Egri"/>
    <x v="11"/>
    <x v="0"/>
    <s v="okt. eleje"/>
    <n v="190"/>
  </r>
  <r>
    <s v="P-050"/>
    <s v="Pannon"/>
    <s v="Villányi"/>
    <x v="6"/>
    <x v="0"/>
    <s v="okt. közepe"/>
    <n v="90"/>
  </r>
  <r>
    <s v="P-051"/>
    <s v="Pannon"/>
    <s v="Villányi"/>
    <x v="12"/>
    <x v="1"/>
    <s v="okt. közepe"/>
    <n v="80"/>
  </r>
  <r>
    <s v="B-052"/>
    <s v="Balaton"/>
    <s v="Balatonboglári"/>
    <x v="12"/>
    <x v="1"/>
    <s v="okt. közepe"/>
    <n v="90"/>
  </r>
  <r>
    <s v="P-053"/>
    <s v="Pannon"/>
    <s v="Pécsi"/>
    <x v="5"/>
    <x v="1"/>
    <s v="szept. közepe"/>
    <n v="30"/>
  </r>
  <r>
    <s v="E-054"/>
    <s v="Eger"/>
    <s v="Mátrai"/>
    <x v="21"/>
    <x v="1"/>
    <s v="szept. közepe"/>
    <n v="210"/>
  </r>
  <r>
    <s v="P-055"/>
    <s v="Pannon"/>
    <s v="Tolnai"/>
    <x v="30"/>
    <x v="1"/>
    <s v="szept. vége"/>
    <n v="90"/>
  </r>
  <r>
    <s v="B-056"/>
    <s v="Balaton"/>
    <s v="Zalai"/>
    <x v="3"/>
    <x v="1"/>
    <s v="okt. eleje"/>
    <n v="70"/>
  </r>
  <r>
    <s v="B-057"/>
    <s v="Balaton"/>
    <s v="Balatonfüred-Csopaki"/>
    <x v="23"/>
    <x v="1"/>
    <s v="szept. vége"/>
    <n v="220"/>
  </r>
  <r>
    <s v="B-058"/>
    <s v="Balaton"/>
    <s v="Balaton-felvidéki"/>
    <x v="1"/>
    <x v="0"/>
    <s v="szept. vége"/>
    <n v="180"/>
  </r>
  <r>
    <s v="P-059"/>
    <s v="Pannon"/>
    <s v="Tolnai"/>
    <x v="12"/>
    <x v="1"/>
    <s v="okt. közepe"/>
    <n v="80"/>
  </r>
  <r>
    <s v="E-060"/>
    <s v="Eger"/>
    <s v="Egri"/>
    <x v="31"/>
    <x v="1"/>
    <s v="szept. vége"/>
    <n v="180"/>
  </r>
  <r>
    <s v="É-061"/>
    <s v="Észak-Dunántúli"/>
    <s v="Etyek-Budai"/>
    <x v="17"/>
    <x v="1"/>
    <s v="szept. közepe"/>
    <n v="50"/>
  </r>
  <r>
    <s v="B-062"/>
    <s v="Balaton"/>
    <s v="Nagy-Somlói"/>
    <x v="32"/>
    <x v="1"/>
    <s v="okt. eleje"/>
    <n v="110"/>
  </r>
  <r>
    <s v="É-063"/>
    <s v="Észak-Dunántúli"/>
    <s v="Neszmélyi"/>
    <x v="17"/>
    <x v="1"/>
    <s v="szept. közepe"/>
    <n v="70"/>
  </r>
  <r>
    <s v="B-064"/>
    <s v="Balaton"/>
    <s v="Zalai"/>
    <x v="18"/>
    <x v="1"/>
    <s v="szept. vége"/>
    <n v="80"/>
  </r>
  <r>
    <s v="B-065"/>
    <s v="Balaton"/>
    <s v="Balatonboglári"/>
    <x v="15"/>
    <x v="1"/>
    <s v="okt. vége"/>
    <n v="100"/>
  </r>
  <r>
    <s v="A-066"/>
    <s v="Alföld (Duna)"/>
    <s v="Hajós-Bajai"/>
    <x v="0"/>
    <x v="0"/>
    <s v="szept. vége"/>
    <n v="60"/>
  </r>
  <r>
    <s v="B-067"/>
    <s v="Balaton"/>
    <s v="Zalai"/>
    <x v="11"/>
    <x v="0"/>
    <s v="okt. eleje"/>
    <n v="70"/>
  </r>
  <r>
    <s v="P-068"/>
    <s v="Pannon"/>
    <s v="Pécsi"/>
    <x v="16"/>
    <x v="1"/>
    <s v="szept. eleje"/>
    <n v="20"/>
  </r>
  <r>
    <s v="É-069"/>
    <s v="Észak-Dunántúli"/>
    <s v="Etyek-Budai"/>
    <x v="18"/>
    <x v="1"/>
    <s v="szept. vége"/>
    <n v="50"/>
  </r>
  <r>
    <s v="P-070"/>
    <s v="Pannon"/>
    <s v="Villányi"/>
    <x v="7"/>
    <x v="1"/>
    <s v="szept. közepe"/>
    <n v="80"/>
  </r>
  <r>
    <s v="E-071"/>
    <s v="Eger"/>
    <s v="Mátrai"/>
    <x v="4"/>
    <x v="1"/>
    <s v="szept. eleje"/>
    <n v="220"/>
  </r>
  <r>
    <s v="E-072"/>
    <s v="Eger"/>
    <s v="Mátrai"/>
    <x v="9"/>
    <x v="0"/>
    <s v="okt. eleje"/>
    <n v="220"/>
  </r>
  <r>
    <s v="É-073"/>
    <s v="Észak-Dunántúli"/>
    <s v="Neszmélyi"/>
    <x v="33"/>
    <x v="1"/>
    <s v="szept. vége"/>
    <n v="70"/>
  </r>
  <r>
    <s v="P-074"/>
    <s v="Pannon"/>
    <s v="Szekszárdi"/>
    <x v="34"/>
    <x v="0"/>
    <s v="okt. közepe"/>
    <n v="70"/>
  </r>
  <r>
    <s v="B-075"/>
    <s v="Balaton"/>
    <s v="Balatonfüred-Csopaki"/>
    <x v="1"/>
    <x v="0"/>
    <s v="szept. vége"/>
    <n v="210"/>
  </r>
  <r>
    <s v="A-076"/>
    <s v="Alföld (Duna)"/>
    <s v="Hajós-Bajai"/>
    <x v="31"/>
    <x v="1"/>
    <s v="szept. vége"/>
    <n v="70"/>
  </r>
  <r>
    <s v="A-077"/>
    <s v="Alföld (Duna)"/>
    <s v="Kunsági"/>
    <x v="1"/>
    <x v="0"/>
    <s v="szept. vége"/>
    <n v="280"/>
  </r>
  <r>
    <s v="B-078"/>
    <s v="Balaton"/>
    <s v="Balatonboglári"/>
    <x v="16"/>
    <x v="1"/>
    <s v="szept. eleje"/>
    <n v="90"/>
  </r>
  <r>
    <s v="P-079"/>
    <s v="Pannon"/>
    <s v="Szekszárdi"/>
    <x v="10"/>
    <x v="0"/>
    <s v="okt. közepe"/>
    <n v="70"/>
  </r>
  <r>
    <s v="É-080"/>
    <s v="Észak-Dunántúli"/>
    <s v="Neszmélyi"/>
    <x v="25"/>
    <x v="1"/>
    <s v="szept. vége"/>
    <n v="60"/>
  </r>
  <r>
    <s v="B-081"/>
    <s v="Balaton"/>
    <s v="Balatonfüred-Csopaki"/>
    <x v="12"/>
    <x v="1"/>
    <s v="okt. közepe"/>
    <n v="220"/>
  </r>
  <r>
    <s v="É-082"/>
    <s v="Észak-Dunántúli"/>
    <s v="Pannonhalmi"/>
    <x v="30"/>
    <x v="1"/>
    <s v="szept. vége"/>
    <n v="20"/>
  </r>
  <r>
    <s v="P-083"/>
    <s v="Pannon"/>
    <s v="Szekszárdi"/>
    <x v="35"/>
    <x v="0"/>
    <s v="okt. eleje"/>
    <n v="70"/>
  </r>
  <r>
    <s v="P-084"/>
    <s v="Pannon"/>
    <s v="Szekszárdi"/>
    <x v="7"/>
    <x v="1"/>
    <s v="szept. közepe"/>
    <n v="60"/>
  </r>
  <r>
    <s v="P-085"/>
    <s v="Pannon"/>
    <s v="Villányi"/>
    <x v="10"/>
    <x v="0"/>
    <s v="okt. közepe"/>
    <n v="90"/>
  </r>
  <r>
    <s v="E-086"/>
    <s v="Eger"/>
    <s v="Mátrai"/>
    <x v="27"/>
    <x v="0"/>
    <s v="szept. eleje"/>
    <n v="220"/>
  </r>
  <r>
    <s v="E-087"/>
    <s v="Eger"/>
    <s v="Bükki"/>
    <x v="0"/>
    <x v="0"/>
    <s v="szept. vége"/>
    <n v="100"/>
  </r>
  <r>
    <s v="A-088"/>
    <s v="Alföld (Duna)"/>
    <s v="Hajós-Bajai"/>
    <x v="10"/>
    <x v="0"/>
    <s v="okt. közepe"/>
    <n v="70"/>
  </r>
  <r>
    <s v="É-089"/>
    <s v="Észak-Dunántúli"/>
    <s v="Pannonhalmi"/>
    <x v="28"/>
    <x v="1"/>
    <s v="okt. eleje"/>
    <n v="30"/>
  </r>
  <r>
    <s v="B-090"/>
    <s v="Balaton"/>
    <s v="Balatonboglári"/>
    <x v="30"/>
    <x v="1"/>
    <s v="szept. vége"/>
    <n v="100"/>
  </r>
  <r>
    <s v="É-091"/>
    <s v="Észak-Dunántúli"/>
    <s v="Etyek-Budai"/>
    <x v="21"/>
    <x v="1"/>
    <s v="szept. közepe"/>
    <n v="60"/>
  </r>
  <r>
    <s v="P-092"/>
    <s v="Pannon"/>
    <s v="Szekszárdi"/>
    <x v="11"/>
    <x v="0"/>
    <s v="okt. eleje"/>
    <n v="60"/>
  </r>
  <r>
    <s v="É-093"/>
    <s v="Észak-Dunántúli"/>
    <s v="Neszmélyi"/>
    <x v="13"/>
    <x v="1"/>
    <s v="szept. közepe"/>
    <n v="70"/>
  </r>
  <r>
    <s v="B-094"/>
    <s v="Balaton"/>
    <s v="Balatonboglári"/>
    <x v="29"/>
    <x v="1"/>
    <s v="okt. eleje"/>
    <n v="100"/>
  </r>
  <r>
    <s v="P-095"/>
    <s v="Pannon"/>
    <s v="Tolnai"/>
    <x v="16"/>
    <x v="1"/>
    <s v="szept. eleje"/>
    <n v="90"/>
  </r>
  <r>
    <s v="B-096"/>
    <s v="Balaton"/>
    <s v="Balatonboglári"/>
    <x v="14"/>
    <x v="0"/>
    <s v="szept. vége"/>
    <n v="90"/>
  </r>
  <r>
    <s v="P-097"/>
    <s v="Pannon"/>
    <s v="Villányi"/>
    <x v="19"/>
    <x v="0"/>
    <s v="okt. eleje"/>
    <n v="90"/>
  </r>
  <r>
    <s v="E-098"/>
    <s v="Eger"/>
    <s v="Bükki"/>
    <x v="12"/>
    <x v="1"/>
    <s v="okt. közepe"/>
    <n v="110"/>
  </r>
  <r>
    <s v="É-099"/>
    <s v="Észak-Dunántúli"/>
    <s v="Neszmélyi"/>
    <x v="2"/>
    <x v="1"/>
    <s v="szept. vége"/>
    <n v="60"/>
  </r>
  <r>
    <s v="E-100"/>
    <s v="Eger"/>
    <s v="Egri"/>
    <x v="4"/>
    <x v="1"/>
    <s v="szept. eleje"/>
    <n v="190"/>
  </r>
  <r>
    <s v="E-101"/>
    <s v="Eger"/>
    <s v="Egri"/>
    <x v="15"/>
    <x v="1"/>
    <s v="okt. vége"/>
    <n v="190"/>
  </r>
  <r>
    <s v="A-102"/>
    <s v="Alföld (Duna)"/>
    <s v="Kunsági"/>
    <x v="19"/>
    <x v="0"/>
    <s v="okt. eleje"/>
    <n v="270"/>
  </r>
  <r>
    <s v="É-103"/>
    <s v="Észak-Dunántúli"/>
    <s v="Neszmélyi"/>
    <x v="7"/>
    <x v="1"/>
    <s v="szept. közepe"/>
    <n v="60"/>
  </r>
  <r>
    <s v="P-104"/>
    <s v="Pannon"/>
    <s v="Szekszárdi"/>
    <x v="36"/>
    <x v="1"/>
    <s v="szept. eleje"/>
    <n v="70"/>
  </r>
  <r>
    <s v="E-105"/>
    <s v="Eger"/>
    <s v="Bükki"/>
    <x v="1"/>
    <x v="0"/>
    <s v="szept. vége"/>
    <n v="100"/>
  </r>
  <r>
    <s v="E-106"/>
    <s v="Eger"/>
    <s v="Mátrai"/>
    <x v="36"/>
    <x v="1"/>
    <s v="szept. eleje"/>
    <n v="210"/>
  </r>
  <r>
    <s v="A-107"/>
    <s v="Alföld (Duna)"/>
    <s v="Csongrádi"/>
    <x v="1"/>
    <x v="0"/>
    <s v="szept. vége"/>
    <n v="80"/>
  </r>
  <r>
    <s v="E-108"/>
    <s v="Eger"/>
    <s v="Egri"/>
    <x v="1"/>
    <x v="0"/>
    <s v="szept. vége"/>
    <n v="190"/>
  </r>
  <r>
    <s v="S-109"/>
    <s v="Sopron"/>
    <s v="Soproni"/>
    <x v="7"/>
    <x v="1"/>
    <s v="szept. közepe"/>
    <n v="160"/>
  </r>
  <r>
    <s v="B-110"/>
    <s v="Balaton"/>
    <s v="Zalai"/>
    <x v="17"/>
    <x v="1"/>
    <s v="szept. közepe"/>
    <n v="80"/>
  </r>
  <r>
    <s v="B-111"/>
    <s v="Balaton"/>
    <s v="Balatonfüred-Csopaki"/>
    <x v="16"/>
    <x v="1"/>
    <s v="szept. eleje"/>
    <n v="210"/>
  </r>
  <r>
    <s v="É-112"/>
    <s v="Észak-Dunántúli"/>
    <s v="Etyek-Budai"/>
    <x v="13"/>
    <x v="1"/>
    <s v="szept. közepe"/>
    <n v="60"/>
  </r>
  <r>
    <s v="B-113"/>
    <s v="Balaton"/>
    <s v="Zalai"/>
    <x v="7"/>
    <x v="1"/>
    <s v="szept. közepe"/>
    <n v="70"/>
  </r>
  <r>
    <s v="P-114"/>
    <s v="Pannon"/>
    <s v="Villányi"/>
    <x v="31"/>
    <x v="1"/>
    <s v="szept. vége"/>
    <n v="80"/>
  </r>
  <r>
    <s v="É-115"/>
    <s v="Észak-Dunántúli"/>
    <s v="Etyek-Budai"/>
    <x v="7"/>
    <x v="1"/>
    <s v="szept. közepe"/>
    <n v="50"/>
  </r>
  <r>
    <s v="B-116"/>
    <s v="Balaton"/>
    <s v="Zalai"/>
    <x v="23"/>
    <x v="1"/>
    <s v="szept. vége"/>
    <n v="70"/>
  </r>
  <r>
    <s v="E-117"/>
    <s v="Eger"/>
    <s v="Egri"/>
    <x v="13"/>
    <x v="1"/>
    <s v="szept. közepe"/>
    <n v="190"/>
  </r>
  <r>
    <s v="É-118"/>
    <s v="Észak-Dunántúli"/>
    <s v="Etyek-Budai"/>
    <x v="0"/>
    <x v="0"/>
    <s v="szept. vége"/>
    <n v="50"/>
  </r>
  <r>
    <s v="E-119"/>
    <s v="Eger"/>
    <s v="Mátrai"/>
    <x v="12"/>
    <x v="1"/>
    <s v="okt. közepe"/>
    <n v="220"/>
  </r>
  <r>
    <s v="E-120"/>
    <s v="Eger"/>
    <s v="Mátrai"/>
    <x v="16"/>
    <x v="1"/>
    <s v="szept. eleje"/>
    <n v="220"/>
  </r>
  <r>
    <s v="B-121"/>
    <s v="Balaton"/>
    <s v="Balatonboglári"/>
    <x v="7"/>
    <x v="1"/>
    <s v="szept. közepe"/>
    <n v="90"/>
  </r>
  <r>
    <s v="É-122"/>
    <s v="Észak-Dunántúli"/>
    <s v="Etyek-Budai"/>
    <x v="32"/>
    <x v="1"/>
    <s v="okt. eleje"/>
    <n v="60"/>
  </r>
  <r>
    <s v="B-123"/>
    <s v="Balaton"/>
    <s v="Badacsonyi"/>
    <x v="5"/>
    <x v="1"/>
    <s v="szept. közepe"/>
    <n v="80"/>
  </r>
  <r>
    <s v="É-124"/>
    <s v="Észak-Dunántúli"/>
    <s v="Neszmélyi"/>
    <x v="18"/>
    <x v="1"/>
    <s v="szept. vége"/>
    <n v="70"/>
  </r>
  <r>
    <s v="B-125"/>
    <s v="Balaton"/>
    <s v="Balatonboglári"/>
    <x v="37"/>
    <x v="1"/>
    <s v="okt. közepe"/>
    <n v="90"/>
  </r>
  <r>
    <s v="A-126"/>
    <s v="Alföld (Duna)"/>
    <s v="Kunsági"/>
    <x v="13"/>
    <x v="1"/>
    <s v="szept. közepe"/>
    <n v="280"/>
  </r>
  <r>
    <s v="B-127"/>
    <s v="Balaton"/>
    <s v="Balatonboglári"/>
    <x v="38"/>
    <x v="1"/>
    <s v="szept. vége"/>
    <n v="100"/>
  </r>
  <r>
    <s v="P-128"/>
    <s v="Pannon"/>
    <s v="Tolnai"/>
    <x v="14"/>
    <x v="0"/>
    <s v="szept. vége"/>
    <n v="90"/>
  </r>
  <r>
    <s v="E-129"/>
    <s v="Eger"/>
    <s v="Mátrai"/>
    <x v="39"/>
    <x v="1"/>
    <s v="aug. vége"/>
    <n v="210"/>
  </r>
  <r>
    <s v="A-130"/>
    <s v="Alföld (Duna)"/>
    <s v="Hajós-Bajai"/>
    <x v="25"/>
    <x v="1"/>
    <s v="szept. vége"/>
    <n v="70"/>
  </r>
  <r>
    <s v="B-131"/>
    <s v="Balaton"/>
    <s v="Balatonboglári"/>
    <x v="31"/>
    <x v="1"/>
    <s v="szept. vége"/>
    <n v="90"/>
  </r>
  <r>
    <s v="B-132"/>
    <s v="Balaton"/>
    <s v="Balatonfüred-Csopaki"/>
    <x v="3"/>
    <x v="1"/>
    <s v="okt. eleje"/>
    <n v="220"/>
  </r>
  <r>
    <s v="P-133"/>
    <s v="Pannon"/>
    <s v="Szekszárdi"/>
    <x v="26"/>
    <x v="1"/>
    <s v="aug. vége"/>
    <n v="60"/>
  </r>
  <r>
    <s v="P-134"/>
    <s v="Pannon"/>
    <s v="Pécsi"/>
    <x v="40"/>
    <x v="0"/>
    <s v="szept. vége"/>
    <n v="30"/>
  </r>
  <r>
    <s v="B-135"/>
    <s v="Balaton"/>
    <s v="Badacsonyi"/>
    <x v="39"/>
    <x v="1"/>
    <s v="aug. vége"/>
    <n v="80"/>
  </r>
  <r>
    <s v="B-136"/>
    <s v="Balaton"/>
    <s v="Nagy-Somlói"/>
    <x v="12"/>
    <x v="1"/>
    <s v="okt. közepe"/>
    <n v="110"/>
  </r>
  <r>
    <s v="É-137"/>
    <s v="Észak-Dunántúli"/>
    <s v="Etyek-Budai"/>
    <x v="31"/>
    <x v="1"/>
    <s v="szept. vége"/>
    <n v="60"/>
  </r>
  <r>
    <s v="P-138"/>
    <s v="Pannon"/>
    <s v="Tolnai"/>
    <x v="4"/>
    <x v="1"/>
    <s v="szept. eleje"/>
    <n v="80"/>
  </r>
  <r>
    <s v="B-139"/>
    <s v="Balaton"/>
    <s v="Balatonfüred-Csopaki"/>
    <x v="41"/>
    <x v="1"/>
    <s v="szept. közepe"/>
    <n v="210"/>
  </r>
  <r>
    <s v="É-140"/>
    <s v="Észak-Dunántúli"/>
    <s v="Neszmélyi"/>
    <x v="0"/>
    <x v="0"/>
    <s v="szept. vége"/>
    <n v="60"/>
  </r>
  <r>
    <s v="P-141"/>
    <s v="Pannon"/>
    <s v="Tolnai"/>
    <x v="41"/>
    <x v="1"/>
    <s v="szept. közepe"/>
    <n v="90"/>
  </r>
  <r>
    <s v="P-142"/>
    <s v="Pannon"/>
    <s v="Szekszárdi"/>
    <x v="42"/>
    <x v="0"/>
    <s v="okt. eleje"/>
    <n v="70"/>
  </r>
  <r>
    <s v="E-143"/>
    <s v="Eger"/>
    <s v="Egri"/>
    <x v="3"/>
    <x v="1"/>
    <s v="okt. eleje"/>
    <n v="190"/>
  </r>
  <r>
    <s v="É-144"/>
    <s v="Észak-Dunántúli"/>
    <s v="Pannonhalmi"/>
    <x v="12"/>
    <x v="1"/>
    <s v="okt. közepe"/>
    <n v="20"/>
  </r>
  <r>
    <s v="E-145"/>
    <s v="Eger"/>
    <s v="Bükki"/>
    <x v="27"/>
    <x v="0"/>
    <s v="szept. eleje"/>
    <n v="110"/>
  </r>
  <r>
    <s v="A-146"/>
    <s v="Alföld (Duna)"/>
    <s v="Hajós-Bajai"/>
    <x v="43"/>
    <x v="1"/>
    <s v="okt. közepe"/>
    <n v="70"/>
  </r>
  <r>
    <s v="B-147"/>
    <s v="Balaton"/>
    <s v="Badacsonyi"/>
    <x v="44"/>
    <x v="1"/>
    <s v="okt. közepe"/>
    <n v="70"/>
  </r>
  <r>
    <s v="P-148"/>
    <s v="Pannon"/>
    <s v="Pécsi"/>
    <x v="25"/>
    <x v="1"/>
    <s v="szept. vége"/>
    <n v="30"/>
  </r>
  <r>
    <s v="B-149"/>
    <s v="Balaton"/>
    <s v="Zalai"/>
    <x v="30"/>
    <x v="1"/>
    <s v="szept. vége"/>
    <n v="80"/>
  </r>
  <r>
    <s v="E-150"/>
    <s v="Eger"/>
    <s v="Mátrai"/>
    <x v="0"/>
    <x v="0"/>
    <s v="szept. vége"/>
    <n v="210"/>
  </r>
  <r>
    <s v="A-151"/>
    <s v="Alföld (Duna)"/>
    <s v="Hajós-Bajai"/>
    <x v="45"/>
    <x v="1"/>
    <s v="szept. vége"/>
    <n v="70"/>
  </r>
  <r>
    <s v="B-152"/>
    <s v="Balaton"/>
    <s v="Balatonboglári"/>
    <x v="2"/>
    <x v="1"/>
    <s v="szept. vége"/>
    <n v="100"/>
  </r>
  <r>
    <s v="P-153"/>
    <s v="Pannon"/>
    <s v="Pécsi"/>
    <x v="18"/>
    <x v="1"/>
    <s v="szept. vége"/>
    <n v="30"/>
  </r>
  <r>
    <s v="P-154"/>
    <s v="Pannon"/>
    <s v="Pécsi"/>
    <x v="19"/>
    <x v="0"/>
    <s v="okt. eleje"/>
    <n v="30"/>
  </r>
  <r>
    <s v="P-155"/>
    <s v="Pannon"/>
    <s v="Tolnai"/>
    <x v="27"/>
    <x v="0"/>
    <s v="szept. eleje"/>
    <n v="90"/>
  </r>
  <r>
    <s v="P-156"/>
    <s v="Pannon"/>
    <s v="Pécsi"/>
    <x v="15"/>
    <x v="1"/>
    <s v="okt. vége"/>
    <n v="20"/>
  </r>
  <r>
    <s v="A-157"/>
    <s v="Alföld (Duna)"/>
    <s v="Csongrádi"/>
    <x v="0"/>
    <x v="0"/>
    <s v="szept. vége"/>
    <n v="90"/>
  </r>
  <r>
    <s v="A-158"/>
    <s v="Alföld (Duna)"/>
    <s v="Csongrádi"/>
    <x v="33"/>
    <x v="1"/>
    <s v="szept. vége"/>
    <n v="80"/>
  </r>
  <r>
    <s v="É-159"/>
    <s v="Észak-Dunántúli"/>
    <s v="Pannonhalmi"/>
    <x v="46"/>
    <x v="0"/>
    <s v="szept. eleje"/>
    <n v="30"/>
  </r>
  <r>
    <s v="B-160"/>
    <s v="Balaton"/>
    <s v="Badacsonyi"/>
    <x v="47"/>
    <x v="1"/>
    <s v="okt. eleje"/>
    <n v="70"/>
  </r>
  <r>
    <s v="P-161"/>
    <s v="Pannon"/>
    <s v="Szekszárdi"/>
    <x v="13"/>
    <x v="1"/>
    <s v="szept. közepe"/>
    <n v="60"/>
  </r>
  <r>
    <s v="P-162"/>
    <s v="Pannon"/>
    <s v="Pécsi"/>
    <x v="0"/>
    <x v="0"/>
    <s v="szept. vége"/>
    <n v="20"/>
  </r>
  <r>
    <s v="B-163"/>
    <s v="Balaton"/>
    <s v="Balaton-felvidéki"/>
    <x v="25"/>
    <x v="1"/>
    <s v="szept. vége"/>
    <n v="190"/>
  </r>
  <r>
    <s v="E-164"/>
    <s v="Eger"/>
    <s v="Bükki"/>
    <x v="2"/>
    <x v="1"/>
    <s v="szept. vége"/>
    <n v="100"/>
  </r>
  <r>
    <s v="P-165"/>
    <s v="Pannon"/>
    <s v="Pécsi"/>
    <x v="48"/>
    <x v="1"/>
    <s v="aug. vége"/>
    <n v="20"/>
  </r>
  <r>
    <s v="A-166"/>
    <s v="Alföld (Duna)"/>
    <s v="Csongrádi"/>
    <x v="16"/>
    <x v="1"/>
    <s v="szept. eleje"/>
    <n v="80"/>
  </r>
  <r>
    <s v="B-167"/>
    <s v="Balaton"/>
    <s v="Balatonfüred-Csopaki"/>
    <x v="9"/>
    <x v="0"/>
    <s v="okt. eleje"/>
    <n v="220"/>
  </r>
  <r>
    <s v="É-168"/>
    <s v="Észak-Dunántúli"/>
    <s v="Pannonhalmi"/>
    <x v="49"/>
    <x v="1"/>
    <s v="okt. vége"/>
    <n v="30"/>
  </r>
  <r>
    <s v="P-169"/>
    <s v="Pannon"/>
    <s v="Pécsi"/>
    <x v="11"/>
    <x v="0"/>
    <s v="okt. eleje"/>
    <n v="20"/>
  </r>
  <r>
    <s v="B-170"/>
    <s v="Balaton"/>
    <s v="Balaton-felvidéki"/>
    <x v="16"/>
    <x v="1"/>
    <s v="szept. eleje"/>
    <n v="180"/>
  </r>
  <r>
    <s v="B-171"/>
    <s v="Balaton"/>
    <s v="Badacsonyi"/>
    <x v="14"/>
    <x v="0"/>
    <s v="szept. vége"/>
    <n v="70"/>
  </r>
  <r>
    <s v="A-172"/>
    <s v="Alföld (Duna)"/>
    <s v="Hajós-Bajai"/>
    <x v="30"/>
    <x v="1"/>
    <s v="szept. vége"/>
    <n v="70"/>
  </r>
  <r>
    <s v="É-173"/>
    <s v="Észak-Dunántúli"/>
    <s v="Neszmélyi"/>
    <x v="41"/>
    <x v="1"/>
    <s v="szept. közepe"/>
    <n v="60"/>
  </r>
  <r>
    <s v="É-174"/>
    <s v="Észak-Dunántúli"/>
    <s v="Pannonhalmi"/>
    <x v="5"/>
    <x v="1"/>
    <s v="szept. közepe"/>
    <n v="30"/>
  </r>
  <r>
    <s v="P-175"/>
    <s v="Pannon"/>
    <s v="Tolnai"/>
    <x v="50"/>
    <x v="0"/>
    <s v="okt. közepe"/>
    <n v="80"/>
  </r>
  <r>
    <s v="E-176"/>
    <s v="Eger"/>
    <s v="Egri"/>
    <x v="0"/>
    <x v="0"/>
    <s v="szept. vége"/>
    <n v="190"/>
  </r>
  <r>
    <s v="A-177"/>
    <s v="Alföld (Duna)"/>
    <s v="Hajós-Bajai"/>
    <x v="18"/>
    <x v="1"/>
    <s v="szept. vége"/>
    <n v="70"/>
  </r>
  <r>
    <s v="A-178"/>
    <s v="Alföld (Duna)"/>
    <s v="Hajós-Bajai"/>
    <x v="14"/>
    <x v="0"/>
    <s v="szept. vége"/>
    <n v="60"/>
  </r>
  <r>
    <s v="É-179"/>
    <s v="Észak-Dunántúli"/>
    <s v="Etyek-Budai"/>
    <x v="23"/>
    <x v="1"/>
    <s v="szept. vége"/>
    <n v="50"/>
  </r>
  <r>
    <s v="P-180"/>
    <s v="Pannon"/>
    <s v="Villányi"/>
    <x v="25"/>
    <x v="1"/>
    <s v="szept. vége"/>
    <n v="80"/>
  </r>
  <r>
    <s v="P-181"/>
    <s v="Pannon"/>
    <s v="Pécsi"/>
    <x v="51"/>
    <x v="1"/>
    <s v="okt. közepe"/>
    <n v="30"/>
  </r>
  <r>
    <s v="P-182"/>
    <s v="Pannon"/>
    <s v="Villányi"/>
    <x v="17"/>
    <x v="1"/>
    <s v="szept. közepe"/>
    <n v="80"/>
  </r>
  <r>
    <s v="P-183"/>
    <s v="Pannon"/>
    <s v="Villányi"/>
    <x v="27"/>
    <x v="0"/>
    <s v="szept. eleje"/>
    <n v="90"/>
  </r>
  <r>
    <s v="É-184"/>
    <s v="Észak-Dunántúli"/>
    <s v="Etyek-Budai"/>
    <x v="9"/>
    <x v="0"/>
    <s v="okt. eleje"/>
    <n v="60"/>
  </r>
  <r>
    <s v="A-185"/>
    <s v="Alföld (Duna)"/>
    <s v="Csongrádi"/>
    <x v="10"/>
    <x v="0"/>
    <s v="okt. közepe"/>
    <n v="80"/>
  </r>
  <r>
    <s v="É-186"/>
    <s v="Észak-Dunántúli"/>
    <s v="Pannonhalmi"/>
    <x v="31"/>
    <x v="1"/>
    <s v="szept. vége"/>
    <n v="20"/>
  </r>
  <r>
    <s v="P-187"/>
    <s v="Pannon"/>
    <s v="Tolnai"/>
    <x v="10"/>
    <x v="0"/>
    <s v="okt. közepe"/>
    <n v="80"/>
  </r>
  <r>
    <s v="A-188"/>
    <s v="Alföld (Duna)"/>
    <s v="Hajós-Bajai"/>
    <x v="23"/>
    <x v="1"/>
    <s v="szept. vége"/>
    <n v="60"/>
  </r>
  <r>
    <s v="P-189"/>
    <s v="Pannon"/>
    <s v="Tolnai"/>
    <x v="48"/>
    <x v="1"/>
    <s v="aug. vége"/>
    <n v="90"/>
  </r>
  <r>
    <s v="E-190"/>
    <s v="Eger"/>
    <s v="Mátrai"/>
    <x v="14"/>
    <x v="0"/>
    <s v="szept. vége"/>
    <n v="210"/>
  </r>
  <r>
    <s v="T-191"/>
    <s v="Tokaj-hegyalja"/>
    <s v="Tokaji"/>
    <x v="28"/>
    <x v="1"/>
    <s v="okt. eleje"/>
    <n v="230"/>
  </r>
  <r>
    <s v="P-192"/>
    <s v="Pannon"/>
    <s v="Szekszárdi"/>
    <x v="41"/>
    <x v="1"/>
    <s v="szept. közepe"/>
    <n v="70"/>
  </r>
  <r>
    <s v="P-193"/>
    <s v="Pannon"/>
    <s v="Villányi"/>
    <x v="18"/>
    <x v="1"/>
    <s v="szept. vége"/>
    <n v="80"/>
  </r>
  <r>
    <s v="P-194"/>
    <s v="Pannon"/>
    <s v="Pécsi"/>
    <x v="52"/>
    <x v="1"/>
    <s v="okt. közepe"/>
    <n v="30"/>
  </r>
  <r>
    <s v="B-195"/>
    <s v="Balaton"/>
    <s v="Zalai"/>
    <x v="5"/>
    <x v="1"/>
    <s v="szept. közepe"/>
    <n v="70"/>
  </r>
  <r>
    <s v="É-196"/>
    <s v="Észak-Dunántúli"/>
    <s v="Neszmélyi"/>
    <x v="12"/>
    <x v="1"/>
    <s v="okt. közepe"/>
    <n v="70"/>
  </r>
  <r>
    <s v="B-197"/>
    <s v="Balaton"/>
    <s v="Nagy-Somlói"/>
    <x v="49"/>
    <x v="1"/>
    <s v="okt. vége"/>
    <n v="110"/>
  </r>
  <r>
    <s v="B-198"/>
    <s v="Balaton"/>
    <s v="Nagy-Somlói"/>
    <x v="25"/>
    <x v="1"/>
    <s v="szept. vége"/>
    <n v="110"/>
  </r>
  <r>
    <s v="É-199"/>
    <s v="Észak-Dunántúli"/>
    <s v="Neszmélyi"/>
    <x v="23"/>
    <x v="1"/>
    <s v="szept. vége"/>
    <n v="70"/>
  </r>
  <r>
    <s v="B-200"/>
    <s v="Balaton"/>
    <s v="Balaton-felvidéki"/>
    <x v="13"/>
    <x v="1"/>
    <s v="szept. közepe"/>
    <n v="190"/>
  </r>
  <r>
    <s v="É-201"/>
    <s v="Észak-Dunántúli"/>
    <s v="Etyek-Budai"/>
    <x v="41"/>
    <x v="1"/>
    <s v="szept. közepe"/>
    <n v="60"/>
  </r>
  <r>
    <s v="E-202"/>
    <s v="Eger"/>
    <s v="Bükki"/>
    <x v="9"/>
    <x v="0"/>
    <s v="okt. eleje"/>
    <n v="110"/>
  </r>
  <r>
    <s v="B-203"/>
    <s v="Balaton"/>
    <s v="Badacsonyi"/>
    <x v="26"/>
    <x v="1"/>
    <s v="aug. vége"/>
    <n v="80"/>
  </r>
  <r>
    <s v="P-204"/>
    <s v="Pannon"/>
    <s v="Pécsi"/>
    <x v="4"/>
    <x v="1"/>
    <s v="szept. eleje"/>
    <n v="30"/>
  </r>
  <r>
    <s v="E-205"/>
    <s v="Eger"/>
    <s v="Mátrai"/>
    <x v="31"/>
    <x v="1"/>
    <s v="szept. vége"/>
    <n v="220"/>
  </r>
  <r>
    <s v="A-206"/>
    <s v="Alföld (Duna)"/>
    <s v="Kunsági"/>
    <x v="45"/>
    <x v="1"/>
    <s v="szept. vége"/>
    <n v="280"/>
  </r>
  <r>
    <s v="A-207"/>
    <s v="Alföld (Duna)"/>
    <s v="Kunsági"/>
    <x v="53"/>
    <x v="1"/>
    <s v="szept. vége"/>
    <n v="270"/>
  </r>
  <r>
    <s v="B-208"/>
    <s v="Balaton"/>
    <s v="Balaton-felvidéki"/>
    <x v="12"/>
    <x v="1"/>
    <s v="okt. közepe"/>
    <n v="180"/>
  </r>
  <r>
    <s v="P-209"/>
    <s v="Pannon"/>
    <s v="Szekszárdi"/>
    <x v="2"/>
    <x v="1"/>
    <s v="szept. vége"/>
    <n v="60"/>
  </r>
  <r>
    <s v="P-210"/>
    <s v="Pannon"/>
    <s v="Tolnai"/>
    <x v="45"/>
    <x v="1"/>
    <s v="szept. vége"/>
    <n v="90"/>
  </r>
  <r>
    <s v="A-211"/>
    <s v="Alföld (Duna)"/>
    <s v="Csongrádi"/>
    <x v="3"/>
    <x v="1"/>
    <s v="okt. eleje"/>
    <n v="80"/>
  </r>
  <r>
    <s v="S-212"/>
    <s v="Sopron"/>
    <s v="Soproni"/>
    <x v="28"/>
    <x v="1"/>
    <s v="okt. eleje"/>
    <n v="170"/>
  </r>
  <r>
    <s v="A-213"/>
    <s v="Alföld (Duna)"/>
    <s v="Hajós-Bajai"/>
    <x v="37"/>
    <x v="1"/>
    <s v="okt. közepe"/>
    <n v="70"/>
  </r>
  <r>
    <s v="B-214"/>
    <s v="Balaton"/>
    <s v="Zalai"/>
    <x v="1"/>
    <x v="0"/>
    <s v="szept. vége"/>
    <n v="70"/>
  </r>
  <r>
    <s v="E-215"/>
    <s v="Eger"/>
    <s v="Mátrai"/>
    <x v="19"/>
    <x v="0"/>
    <s v="okt. eleje"/>
    <n v="220"/>
  </r>
  <r>
    <s v="B-216"/>
    <s v="Balaton"/>
    <s v="Badacsonyi"/>
    <x v="19"/>
    <x v="0"/>
    <s v="okt. eleje"/>
    <n v="80"/>
  </r>
  <r>
    <s v="É-217"/>
    <s v="Észak-Dunántúli"/>
    <s v="Neszmélyi"/>
    <x v="21"/>
    <x v="1"/>
    <s v="szept. közepe"/>
    <n v="70"/>
  </r>
  <r>
    <s v="É-218"/>
    <s v="Észak-Dunántúli"/>
    <s v="Móri"/>
    <x v="25"/>
    <x v="1"/>
    <s v="szept. vége"/>
    <n v="130"/>
  </r>
  <r>
    <s v="É-219"/>
    <s v="Észak-Dunántúli"/>
    <s v="Pannonhalmi"/>
    <x v="14"/>
    <x v="0"/>
    <s v="szept. vége"/>
    <n v="20"/>
  </r>
  <r>
    <s v="P-220"/>
    <s v="Pannon"/>
    <s v="Pécsi"/>
    <x v="12"/>
    <x v="1"/>
    <s v="okt. közepe"/>
    <n v="20"/>
  </r>
  <r>
    <s v="P-221"/>
    <s v="Pannon"/>
    <s v="Szekszárdi"/>
    <x v="12"/>
    <x v="1"/>
    <s v="okt. közepe"/>
    <n v="60"/>
  </r>
  <r>
    <s v="E-222"/>
    <s v="Eger"/>
    <s v="Mátrai"/>
    <x v="17"/>
    <x v="1"/>
    <s v="szept. közepe"/>
    <n v="210"/>
  </r>
  <r>
    <s v="É-223"/>
    <s v="Észak-Dunántúli"/>
    <s v="Pannonhalmi"/>
    <x v="54"/>
    <x v="1"/>
    <s v="szept. eleje"/>
    <n v="20"/>
  </r>
  <r>
    <s v="P-224"/>
    <s v="Pannon"/>
    <s v="Szekszárdi"/>
    <x v="31"/>
    <x v="1"/>
    <s v="szept. vége"/>
    <n v="60"/>
  </r>
  <r>
    <s v="B-225"/>
    <s v="Balaton"/>
    <s v="Badacsonyi"/>
    <x v="16"/>
    <x v="1"/>
    <s v="szept. eleje"/>
    <n v="70"/>
  </r>
  <r>
    <s v="P-226"/>
    <s v="Pannon"/>
    <s v="Villányi"/>
    <x v="3"/>
    <x v="1"/>
    <s v="okt. eleje"/>
    <n v="80"/>
  </r>
  <r>
    <s v="A-227"/>
    <s v="Alföld (Duna)"/>
    <s v="Csongrádi"/>
    <x v="11"/>
    <x v="0"/>
    <s v="okt. eleje"/>
    <n v="90"/>
  </r>
  <r>
    <s v="P-228"/>
    <s v="Pannon"/>
    <s v="Villányi"/>
    <x v="14"/>
    <x v="0"/>
    <s v="szept. vége"/>
    <n v="90"/>
  </r>
  <r>
    <s v="É-229"/>
    <s v="Észak-Dunántúli"/>
    <s v="Neszmélyi"/>
    <x v="31"/>
    <x v="1"/>
    <s v="szept. vége"/>
    <n v="60"/>
  </r>
  <r>
    <s v="B-230"/>
    <s v="Balaton"/>
    <s v="Balatonboglári"/>
    <x v="26"/>
    <x v="1"/>
    <s v="aug. vége"/>
    <n v="100"/>
  </r>
  <r>
    <s v="P-231"/>
    <s v="Pannon"/>
    <s v="Pécsi"/>
    <x v="32"/>
    <x v="1"/>
    <s v="okt. eleje"/>
    <n v="30"/>
  </r>
  <r>
    <s v="P-232"/>
    <s v="Pannon"/>
    <s v="Szekszárdi"/>
    <x v="46"/>
    <x v="0"/>
    <s v="szept. eleje"/>
    <n v="70"/>
  </r>
  <r>
    <s v="É-233"/>
    <s v="Észak-Dunántúli"/>
    <s v="Neszmélyi"/>
    <x v="1"/>
    <x v="0"/>
    <s v="szept. vége"/>
    <n v="70"/>
  </r>
  <r>
    <s v="E-234"/>
    <s v="Eger"/>
    <s v="Mátrai"/>
    <x v="11"/>
    <x v="0"/>
    <s v="okt. eleje"/>
    <n v="210"/>
  </r>
  <r>
    <s v="P-235"/>
    <s v="Pannon"/>
    <s v="Szekszárdi"/>
    <x v="54"/>
    <x v="1"/>
    <s v="szept. eleje"/>
    <n v="70"/>
  </r>
  <r>
    <s v="A-236"/>
    <s v="Alföld (Duna)"/>
    <s v="Csongrádi"/>
    <x v="13"/>
    <x v="1"/>
    <s v="szept. közepe"/>
    <n v="80"/>
  </r>
  <r>
    <s v="B-237"/>
    <s v="Balaton"/>
    <s v="Badacsonyi"/>
    <x v="0"/>
    <x v="0"/>
    <s v="szept. vége"/>
    <n v="70"/>
  </r>
  <r>
    <s v="E-238"/>
    <s v="Eger"/>
    <s v="Egri"/>
    <x v="2"/>
    <x v="1"/>
    <s v="szept. vége"/>
    <n v="180"/>
  </r>
  <r>
    <s v="B-239"/>
    <s v="Balaton"/>
    <s v="Balaton-felvidéki"/>
    <x v="41"/>
    <x v="1"/>
    <s v="szept. közepe"/>
    <n v="180"/>
  </r>
  <r>
    <s v="B-240"/>
    <s v="Balaton"/>
    <s v="Balatonboglári"/>
    <x v="11"/>
    <x v="0"/>
    <s v="okt. eleje"/>
    <n v="90"/>
  </r>
  <r>
    <s v="A-241"/>
    <s v="Alföld (Duna)"/>
    <s v="Kunsági"/>
    <x v="43"/>
    <x v="1"/>
    <s v="okt. közepe"/>
    <n v="270"/>
  </r>
  <r>
    <s v="É-242"/>
    <s v="Észak-Dunántúli"/>
    <s v="Neszmélyi"/>
    <x v="9"/>
    <x v="0"/>
    <s v="okt. eleje"/>
    <n v="60"/>
  </r>
  <r>
    <s v="B-243"/>
    <s v="Balaton"/>
    <s v="Balatonboglári"/>
    <x v="55"/>
    <x v="1"/>
    <s v="okt. eleje"/>
    <n v="90"/>
  </r>
  <r>
    <s v="P-244"/>
    <s v="Pannon"/>
    <s v="Szekszárdi"/>
    <x v="18"/>
    <x v="1"/>
    <s v="szept. vége"/>
    <n v="70"/>
  </r>
  <r>
    <s v="E-245"/>
    <s v="Eger"/>
    <s v="Egri"/>
    <x v="10"/>
    <x v="0"/>
    <s v="okt. közepe"/>
    <n v="180"/>
  </r>
  <r>
    <s v="B-246"/>
    <s v="Balaton"/>
    <s v="Balatonboglári"/>
    <x v="5"/>
    <x v="1"/>
    <s v="szept. közepe"/>
    <n v="90"/>
  </r>
  <r>
    <s v="P-247"/>
    <s v="Pannon"/>
    <s v="Szekszárdi"/>
    <x v="28"/>
    <x v="1"/>
    <s v="okt. eleje"/>
    <n v="70"/>
  </r>
  <r>
    <s v="E-248"/>
    <s v="Eger"/>
    <s v="Mátrai"/>
    <x v="56"/>
    <x v="1"/>
    <s v="okt. eleje"/>
    <n v="220"/>
  </r>
  <r>
    <s v="É-249"/>
    <s v="Észak-Dunántúli"/>
    <s v="Pannonhalmi"/>
    <x v="15"/>
    <x v="1"/>
    <s v="okt. vége"/>
    <n v="30"/>
  </r>
  <r>
    <s v="P-250"/>
    <s v="Pannon"/>
    <s v="Pécsi"/>
    <x v="13"/>
    <x v="1"/>
    <s v="szept. közepe"/>
    <n v="20"/>
  </r>
  <r>
    <s v="B-251"/>
    <s v="Balaton"/>
    <s v="Badacsonyi"/>
    <x v="25"/>
    <x v="1"/>
    <s v="szept. vége"/>
    <n v="80"/>
  </r>
  <r>
    <s v="P-252"/>
    <s v="Pannon"/>
    <s v="Szekszárdi"/>
    <x v="33"/>
    <x v="1"/>
    <s v="szept. vége"/>
    <n v="70"/>
  </r>
  <r>
    <s v="E-253"/>
    <s v="Eger"/>
    <s v="Egri"/>
    <x v="23"/>
    <x v="1"/>
    <s v="szept. vége"/>
    <n v="190"/>
  </r>
  <r>
    <s v="A-254"/>
    <s v="Alföld (Duna)"/>
    <s v="Kunsági"/>
    <x v="57"/>
    <x v="1"/>
    <s v="okt. eleje"/>
    <n v="270"/>
  </r>
  <r>
    <s v="E-255"/>
    <s v="Eger"/>
    <s v="Egri"/>
    <x v="35"/>
    <x v="0"/>
    <s v="okt. eleje"/>
    <n v="190"/>
  </r>
  <r>
    <s v="E-256"/>
    <s v="Eger"/>
    <s v="Mátrai"/>
    <x v="41"/>
    <x v="1"/>
    <s v="szept. közepe"/>
    <n v="220"/>
  </r>
  <r>
    <s v="P-257"/>
    <s v="Pannon"/>
    <s v="Tolnai"/>
    <x v="5"/>
    <x v="1"/>
    <s v="szept. közepe"/>
    <n v="90"/>
  </r>
  <r>
    <s v="É-258"/>
    <s v="Észak-Dunántúli"/>
    <s v="Neszmélyi"/>
    <x v="11"/>
    <x v="0"/>
    <s v="okt. eleje"/>
    <n v="70"/>
  </r>
  <r>
    <s v="S-259"/>
    <s v="Sopron"/>
    <s v="Soproni"/>
    <x v="13"/>
    <x v="1"/>
    <s v="szept. közepe"/>
    <n v="160"/>
  </r>
  <r>
    <s v="A-260"/>
    <s v="Alföld (Duna)"/>
    <s v="Csongrádi"/>
    <x v="43"/>
    <x v="1"/>
    <s v="okt. közepe"/>
    <n v="90"/>
  </r>
  <r>
    <s v="É-261"/>
    <s v="Észak-Dunántúli"/>
    <s v="Pannonhalmi"/>
    <x v="6"/>
    <x v="0"/>
    <s v="okt. közepe"/>
    <n v="30"/>
  </r>
  <r>
    <s v="P-262"/>
    <s v="Pannon"/>
    <s v="Szekszárdi"/>
    <x v="15"/>
    <x v="1"/>
    <s v="okt. vége"/>
    <n v="70"/>
  </r>
  <r>
    <s v="B-263"/>
    <s v="Balaton"/>
    <s v="Badacsonyi"/>
    <x v="58"/>
    <x v="1"/>
    <s v="okt. eleje"/>
    <n v="80"/>
  </r>
  <r>
    <s v="É-264"/>
    <s v="Észak-Dunántúli"/>
    <s v="Etyek-Budai"/>
    <x v="26"/>
    <x v="1"/>
    <s v="aug. vége"/>
    <n v="50"/>
  </r>
  <r>
    <s v="E-265"/>
    <s v="Eger"/>
    <s v="Mátrai"/>
    <x v="20"/>
    <x v="1"/>
    <s v="okt. eleje"/>
    <n v="210"/>
  </r>
  <r>
    <s v="A-266"/>
    <s v="Alföld (Duna)"/>
    <s v="Hajós-Bajai"/>
    <x v="27"/>
    <x v="0"/>
    <s v="szept. eleje"/>
    <n v="60"/>
  </r>
  <r>
    <s v="É-267"/>
    <s v="Észak-Dunántúli"/>
    <s v="Pannonhalmi"/>
    <x v="9"/>
    <x v="0"/>
    <s v="okt. eleje"/>
    <n v="30"/>
  </r>
  <r>
    <s v="É-268"/>
    <s v="Észak-Dunántúli"/>
    <s v="Etyek-Budai"/>
    <x v="27"/>
    <x v="0"/>
    <s v="szept. eleje"/>
    <n v="60"/>
  </r>
  <r>
    <s v="A-269"/>
    <s v="Alföld (Duna)"/>
    <s v="Csongrádi"/>
    <x v="29"/>
    <x v="1"/>
    <s v="okt. eleje"/>
    <n v="90"/>
  </r>
  <r>
    <s v="A-270"/>
    <s v="Alföld (Duna)"/>
    <s v="Hajós-Bajai"/>
    <x v="3"/>
    <x v="1"/>
    <s v="okt. eleje"/>
    <n v="60"/>
  </r>
  <r>
    <s v="P-271"/>
    <s v="Pannon"/>
    <s v="Pécsi"/>
    <x v="10"/>
    <x v="0"/>
    <s v="okt. közepe"/>
    <n v="20"/>
  </r>
  <r>
    <s v="B-272"/>
    <s v="Balaton"/>
    <s v="Nagy-Somlói"/>
    <x v="15"/>
    <x v="1"/>
    <s v="okt. vége"/>
    <n v="110"/>
  </r>
  <r>
    <s v="P-273"/>
    <s v="Pannon"/>
    <s v="Tolnai"/>
    <x v="25"/>
    <x v="1"/>
    <s v="szept. vége"/>
    <n v="80"/>
  </r>
  <r>
    <s v="É-274"/>
    <s v="Észak-Dunántúli"/>
    <s v="Pannonhalmi"/>
    <x v="16"/>
    <x v="1"/>
    <s v="szept. eleje"/>
    <n v="30"/>
  </r>
  <r>
    <s v="P-275"/>
    <s v="Pannon"/>
    <s v="Szekszárdi"/>
    <x v="48"/>
    <x v="1"/>
    <s v="aug. vége"/>
    <n v="60"/>
  </r>
  <r>
    <s v="P-276"/>
    <s v="Pannon"/>
    <s v="Tolnai"/>
    <x v="19"/>
    <x v="0"/>
    <s v="okt. eleje"/>
    <n v="90"/>
  </r>
  <r>
    <s v="A-277"/>
    <s v="Alföld (Duna)"/>
    <s v="Csongrádi"/>
    <x v="18"/>
    <x v="1"/>
    <s v="szept. vége"/>
    <n v="80"/>
  </r>
  <r>
    <s v="E-278"/>
    <s v="Eger"/>
    <s v="Mátrai"/>
    <x v="1"/>
    <x v="0"/>
    <s v="szept. vége"/>
    <n v="210"/>
  </r>
  <r>
    <s v="E-279"/>
    <s v="Eger"/>
    <s v="Egri"/>
    <x v="12"/>
    <x v="1"/>
    <s v="okt. közepe"/>
    <n v="190"/>
  </r>
  <r>
    <s v="P-280"/>
    <s v="Pannon"/>
    <s v="Tolnai"/>
    <x v="31"/>
    <x v="1"/>
    <s v="szept. vége"/>
    <n v="90"/>
  </r>
  <r>
    <s v="B-281"/>
    <s v="Balaton"/>
    <s v="Badacsonyi"/>
    <x v="49"/>
    <x v="1"/>
    <s v="okt. vége"/>
    <n v="70"/>
  </r>
  <r>
    <s v="E-282"/>
    <s v="Eger"/>
    <s v="Mátrai"/>
    <x v="59"/>
    <x v="1"/>
    <s v="szept. eleje"/>
    <n v="210"/>
  </r>
  <r>
    <s v="P-283"/>
    <s v="Pannon"/>
    <s v="Villányi"/>
    <x v="30"/>
    <x v="1"/>
    <s v="szept. vége"/>
    <n v="80"/>
  </r>
  <r>
    <s v="A-284"/>
    <s v="Alföld (Duna)"/>
    <s v="Hajós-Bajai"/>
    <x v="33"/>
    <x v="1"/>
    <s v="szept. vége"/>
    <n v="70"/>
  </r>
  <r>
    <s v="T-285"/>
    <s v="Tokaj-hegyalja"/>
    <s v="Tokaji"/>
    <x v="60"/>
    <x v="1"/>
    <s v="szept. eleje"/>
    <n v="230"/>
  </r>
  <r>
    <s v="B-286"/>
    <s v="Balaton"/>
    <s v="Balatonboglári"/>
    <x v="28"/>
    <x v="1"/>
    <s v="okt. eleje"/>
    <n v="90"/>
  </r>
  <r>
    <s v="É-287"/>
    <s v="Észak-Dunántúli"/>
    <s v="Pannonhalmi"/>
    <x v="11"/>
    <x v="0"/>
    <s v="okt. eleje"/>
    <n v="30"/>
  </r>
  <r>
    <s v="É-288"/>
    <s v="Észak-Dunántúli"/>
    <s v="Móri"/>
    <x v="7"/>
    <x v="1"/>
    <s v="szept. közepe"/>
    <n v="130"/>
  </r>
  <r>
    <s v="E-289"/>
    <s v="Eger"/>
    <s v="Mátrai"/>
    <x v="49"/>
    <x v="1"/>
    <s v="okt. vége"/>
    <n v="220"/>
  </r>
  <r>
    <s v="B-290"/>
    <s v="Balaton"/>
    <s v="Zalai"/>
    <x v="2"/>
    <x v="1"/>
    <s v="szept. vége"/>
    <n v="80"/>
  </r>
  <r>
    <s v="B-291"/>
    <s v="Balaton"/>
    <s v="Balatonfüred-Csopaki"/>
    <x v="25"/>
    <x v="1"/>
    <s v="szept. vége"/>
    <n v="220"/>
  </r>
  <r>
    <s v="B-292"/>
    <s v="Balaton"/>
    <s v="Zalai"/>
    <x v="12"/>
    <x v="1"/>
    <s v="okt. közepe"/>
    <n v="70"/>
  </r>
  <r>
    <s v="E-293"/>
    <s v="Eger"/>
    <s v="Egri"/>
    <x v="46"/>
    <x v="0"/>
    <s v="szept. eleje"/>
    <n v="180"/>
  </r>
  <r>
    <s v="B-294"/>
    <s v="Balaton"/>
    <s v="Balatonboglári"/>
    <x v="23"/>
    <x v="1"/>
    <s v="szept. vége"/>
    <n v="90"/>
  </r>
  <r>
    <s v="B-295"/>
    <s v="Balaton"/>
    <s v="Badacsonyi"/>
    <x v="3"/>
    <x v="1"/>
    <s v="okt. eleje"/>
    <n v="70"/>
  </r>
  <r>
    <s v="E-296"/>
    <s v="Eger"/>
    <s v="Egri"/>
    <x v="9"/>
    <x v="0"/>
    <s v="okt. eleje"/>
    <n v="190"/>
  </r>
  <r>
    <s v="S-297"/>
    <s v="Sopron"/>
    <s v="Soproni"/>
    <x v="18"/>
    <x v="1"/>
    <s v="szept. vége"/>
    <n v="170"/>
  </r>
  <r>
    <s v="B-298"/>
    <s v="Balaton"/>
    <s v="Badacsonyi"/>
    <x v="48"/>
    <x v="1"/>
    <s v="aug. vége"/>
    <n v="80"/>
  </r>
  <r>
    <s v="É-299"/>
    <s v="Észak-Dunántúli"/>
    <s v="Neszmélyi"/>
    <x v="16"/>
    <x v="1"/>
    <s v="szept. eleje"/>
    <n v="70"/>
  </r>
  <r>
    <s v="S-300"/>
    <s v="Sopron"/>
    <s v="Soproni"/>
    <x v="4"/>
    <x v="1"/>
    <s v="szept. eleje"/>
    <n v="170"/>
  </r>
  <r>
    <s v="A-301"/>
    <s v="Alföld (Duna)"/>
    <s v="Hajós-Bajai"/>
    <x v="15"/>
    <x v="1"/>
    <s v="okt. vége"/>
    <n v="60"/>
  </r>
  <r>
    <s v="É-302"/>
    <s v="Észak-Dunántúli"/>
    <s v="Pannonhalmi"/>
    <x v="26"/>
    <x v="1"/>
    <s v="aug. vége"/>
    <n v="30"/>
  </r>
  <r>
    <s v="B-303"/>
    <s v="Balaton"/>
    <s v="Balatonboglári"/>
    <x v="19"/>
    <x v="0"/>
    <s v="okt. eleje"/>
    <n v="90"/>
  </r>
  <r>
    <s v="É-304"/>
    <s v="Észak-Dunántúli"/>
    <s v="Pannonhalmi"/>
    <x v="41"/>
    <x v="1"/>
    <s v="szept. közepe"/>
    <n v="30"/>
  </r>
  <r>
    <s v="P-305"/>
    <s v="Pannon"/>
    <s v="Szekszárdi"/>
    <x v="9"/>
    <x v="0"/>
    <s v="okt. eleje"/>
    <n v="60"/>
  </r>
  <r>
    <s v="A-306"/>
    <s v="Alföld (Duna)"/>
    <s v="Kunsági"/>
    <x v="3"/>
    <x v="1"/>
    <s v="okt. eleje"/>
    <n v="270"/>
  </r>
  <r>
    <s v="A-307"/>
    <s v="Alföld (Duna)"/>
    <s v="Kunsági"/>
    <x v="12"/>
    <x v="1"/>
    <s v="okt. közepe"/>
    <n v="280"/>
  </r>
  <r>
    <s v="É-308"/>
    <s v="Észak-Dunántúli"/>
    <s v="Pannonhalmi"/>
    <x v="18"/>
    <x v="1"/>
    <s v="szept. vége"/>
    <n v="20"/>
  </r>
  <r>
    <s v="É-309"/>
    <s v="Észak-Dunántúli"/>
    <s v="Etyek-Budai"/>
    <x v="28"/>
    <x v="1"/>
    <s v="okt. eleje"/>
    <n v="60"/>
  </r>
  <r>
    <s v="T-310"/>
    <s v="Tokaj-hegyalja"/>
    <s v="Tokaji"/>
    <x v="15"/>
    <x v="1"/>
    <s v="okt. vége"/>
    <n v="220"/>
  </r>
  <r>
    <s v="B-311"/>
    <s v="Balaton"/>
    <s v="Balatonfüred-Csopaki"/>
    <x v="7"/>
    <x v="1"/>
    <s v="szept. közepe"/>
    <n v="210"/>
  </r>
  <r>
    <s v="B-312"/>
    <s v="Balaton"/>
    <s v="Balatonboglári"/>
    <x v="25"/>
    <x v="1"/>
    <s v="szept. vége"/>
    <n v="100"/>
  </r>
  <r>
    <s v="E-313"/>
    <s v="Eger"/>
    <s v="Mátrai"/>
    <x v="33"/>
    <x v="1"/>
    <s v="szept. vége"/>
    <n v="210"/>
  </r>
  <r>
    <s v="B-314"/>
    <s v="Balaton"/>
    <s v="Zalai"/>
    <x v="31"/>
    <x v="1"/>
    <s v="szept. vége"/>
    <n v="80"/>
  </r>
  <r>
    <s v="S-315"/>
    <s v="Sopron"/>
    <s v="Soproni"/>
    <x v="3"/>
    <x v="1"/>
    <s v="okt. eleje"/>
    <n v="170"/>
  </r>
  <r>
    <s v="E-316"/>
    <s v="Eger"/>
    <s v="Mátrai"/>
    <x v="30"/>
    <x v="1"/>
    <s v="szept. vége"/>
    <n v="210"/>
  </r>
  <r>
    <s v="P-317"/>
    <s v="Pannon"/>
    <s v="Szekszárdi"/>
    <x v="4"/>
    <x v="1"/>
    <s v="szept. eleje"/>
    <n v="70"/>
  </r>
  <r>
    <s v="E-318"/>
    <s v="Eger"/>
    <s v="Egri"/>
    <x v="19"/>
    <x v="0"/>
    <s v="okt. eleje"/>
    <n v="190"/>
  </r>
  <r>
    <s v="B-319"/>
    <s v="Balaton"/>
    <s v="Balaton-felvidéki"/>
    <x v="7"/>
    <x v="1"/>
    <s v="szept. közepe"/>
    <n v="190"/>
  </r>
  <r>
    <s v="E-320"/>
    <s v="Eger"/>
    <s v="Egri"/>
    <x v="5"/>
    <x v="1"/>
    <s v="szept. közepe"/>
    <n v="190"/>
  </r>
  <r>
    <s v="B-321"/>
    <s v="Balaton"/>
    <s v="Balatonboglári"/>
    <x v="41"/>
    <x v="1"/>
    <s v="szept. közepe"/>
    <n v="100"/>
  </r>
  <r>
    <s v="A-322"/>
    <s v="Alföld (Duna)"/>
    <s v="Csongrádi"/>
    <x v="26"/>
    <x v="1"/>
    <s v="aug. vége"/>
    <n v="80"/>
  </r>
  <r>
    <s v="É-323"/>
    <s v="Észak-Dunántúli"/>
    <s v="Etyek-Budai"/>
    <x v="5"/>
    <x v="1"/>
    <s v="szept. közepe"/>
    <n v="60"/>
  </r>
  <r>
    <s v="P-324"/>
    <s v="Pannon"/>
    <s v="Szekszárdi"/>
    <x v="1"/>
    <x v="0"/>
    <s v="szept. vége"/>
    <n v="60"/>
  </r>
  <r>
    <s v="T-325"/>
    <s v="Tokaj-hegyalja"/>
    <s v="Tokaji"/>
    <x v="49"/>
    <x v="1"/>
    <s v="okt. vége"/>
    <n v="230"/>
  </r>
  <r>
    <s v="P-326"/>
    <s v="Pannon"/>
    <s v="Szekszárdi"/>
    <x v="19"/>
    <x v="0"/>
    <s v="okt. eleje"/>
    <n v="70"/>
  </r>
  <r>
    <s v="A-327"/>
    <s v="Alföld (Duna)"/>
    <s v="Hajós-Bajai"/>
    <x v="19"/>
    <x v="0"/>
    <s v="okt. eleje"/>
    <n v="60"/>
  </r>
  <r>
    <s v="P-328"/>
    <s v="Pannon"/>
    <s v="Villányi"/>
    <x v="11"/>
    <x v="0"/>
    <s v="okt. eleje"/>
    <n v="90"/>
  </r>
  <r>
    <s v="P-329"/>
    <s v="Pannon"/>
    <s v="Szekszárdi"/>
    <x v="30"/>
    <x v="1"/>
    <s v="szept. vége"/>
    <n v="60"/>
  </r>
  <r>
    <s v="B-330"/>
    <s v="Balaton"/>
    <s v="Zalai"/>
    <x v="27"/>
    <x v="0"/>
    <s v="szept. eleje"/>
    <n v="70"/>
  </r>
  <r>
    <s v="P-331"/>
    <s v="Pannon"/>
    <s v="Pécsi"/>
    <x v="8"/>
    <x v="0"/>
    <s v="okt. közepe"/>
    <n v="20"/>
  </r>
  <r>
    <s v="P-332"/>
    <s v="Pannon"/>
    <s v="Tolnai"/>
    <x v="6"/>
    <x v="0"/>
    <s v="okt. közepe"/>
    <n v="80"/>
  </r>
  <r>
    <s v="B-333"/>
    <s v="Balaton"/>
    <s v="Badacsonyi"/>
    <x v="4"/>
    <x v="1"/>
    <s v="szept. eleje"/>
    <n v="80"/>
  </r>
  <r>
    <s v="P-334"/>
    <s v="Pannon"/>
    <s v="Tolnai"/>
    <x v="0"/>
    <x v="0"/>
    <s v="szept. vége"/>
    <n v="90"/>
  </r>
  <r>
    <s v="A-335"/>
    <s v="Alföld (Duna)"/>
    <s v="Csongrádi"/>
    <x v="19"/>
    <x v="0"/>
    <s v="okt. eleje"/>
    <n v="80"/>
  </r>
  <r>
    <s v="E-336"/>
    <s v="Eger"/>
    <s v="Mátrai"/>
    <x v="8"/>
    <x v="0"/>
    <s v="okt. közepe"/>
    <n v="210"/>
  </r>
  <r>
    <s v="P-337"/>
    <s v="Pannon"/>
    <s v="Pécsi"/>
    <x v="41"/>
    <x v="1"/>
    <s v="szept. közepe"/>
    <n v="30"/>
  </r>
  <r>
    <s v="P-338"/>
    <s v="Pannon"/>
    <s v="Szekszárdi"/>
    <x v="5"/>
    <x v="1"/>
    <s v="szept. közepe"/>
    <n v="60"/>
  </r>
  <r>
    <s v="E-339"/>
    <s v="Eger"/>
    <s v="Mátrai"/>
    <x v="5"/>
    <x v="1"/>
    <s v="szept. közepe"/>
    <n v="210"/>
  </r>
  <r>
    <s v="P-340"/>
    <s v="Pannon"/>
    <s v="Tolnai"/>
    <x v="11"/>
    <x v="0"/>
    <s v="okt. eleje"/>
    <n v="90"/>
  </r>
  <r>
    <s v="P-341"/>
    <s v="Pannon"/>
    <s v="Pécsi"/>
    <x v="30"/>
    <x v="1"/>
    <s v="szept. vége"/>
    <n v="30"/>
  </r>
  <r>
    <s v="P-342"/>
    <s v="Pannon"/>
    <s v="Pécsi"/>
    <x v="49"/>
    <x v="1"/>
    <s v="okt. vége"/>
    <n v="30"/>
  </r>
  <r>
    <s v="P-343"/>
    <s v="Pannon"/>
    <s v="Pécsi"/>
    <x v="7"/>
    <x v="1"/>
    <s v="szept. közepe"/>
    <n v="30"/>
  </r>
  <r>
    <s v="E-344"/>
    <s v="Eger"/>
    <s v="Bükki"/>
    <x v="41"/>
    <x v="1"/>
    <s v="szept. közepe"/>
    <n v="110"/>
  </r>
  <r>
    <s v="B-345"/>
    <s v="Balaton"/>
    <s v="Balatonboglári"/>
    <x v="61"/>
    <x v="1"/>
    <s v="szept. vége"/>
    <n v="100"/>
  </r>
  <r>
    <s v="P-346"/>
    <s v="Pannon"/>
    <s v="Szekszárdi"/>
    <x v="16"/>
    <x v="1"/>
    <s v="szept. eleje"/>
    <n v="60"/>
  </r>
  <r>
    <s v="É-347"/>
    <s v="Észak-Dunántúli"/>
    <s v="Móri"/>
    <x v="45"/>
    <x v="1"/>
    <s v="szept. vége"/>
    <n v="120"/>
  </r>
  <r>
    <s v="A-348"/>
    <s v="Alföld (Duna)"/>
    <s v="Csongrádi"/>
    <x v="7"/>
    <x v="1"/>
    <s v="szept. közepe"/>
    <n v="90"/>
  </r>
  <r>
    <s v="A-349"/>
    <s v="Alföld (Duna)"/>
    <s v="Hajós-Bajai"/>
    <x v="16"/>
    <x v="1"/>
    <s v="szept. eleje"/>
    <n v="70"/>
  </r>
  <r>
    <s v="E-350"/>
    <s v="Eger"/>
    <s v="Mátrai"/>
    <x v="7"/>
    <x v="1"/>
    <s v="szept. közepe"/>
    <n v="210"/>
  </r>
  <r>
    <s v="P-351"/>
    <s v="Pannon"/>
    <s v="Villányi"/>
    <x v="8"/>
    <x v="0"/>
    <s v="okt. közepe"/>
    <n v="80"/>
  </r>
  <r>
    <s v="É-352"/>
    <s v="Észak-Dunántúli"/>
    <s v="Móri"/>
    <x v="41"/>
    <x v="1"/>
    <s v="szept. közepe"/>
    <n v="130"/>
  </r>
  <r>
    <s v="P-353"/>
    <s v="Pannon"/>
    <s v="Pécsi"/>
    <x v="31"/>
    <x v="1"/>
    <s v="szept. vége"/>
    <n v="20"/>
  </r>
  <r>
    <s v="A-354"/>
    <s v="Alföld (Duna)"/>
    <s v="Hajós-Bajai"/>
    <x v="13"/>
    <x v="1"/>
    <s v="szept. közepe"/>
    <n v="60"/>
  </r>
  <r>
    <s v="P-355"/>
    <s v="Pannon"/>
    <s v="Szekszárdi"/>
    <x v="22"/>
    <x v="0"/>
    <s v="szept. eleje"/>
    <n v="70"/>
  </r>
  <r>
    <s v="É-356"/>
    <s v="Észak-Dunántúli"/>
    <s v="Pannonhalmi"/>
    <x v="48"/>
    <x v="1"/>
    <s v="aug. vége"/>
    <n v="20"/>
  </r>
  <r>
    <s v="B-357"/>
    <s v="Balaton"/>
    <s v="Zalai"/>
    <x v="62"/>
    <x v="1"/>
    <s v="okt. közepe"/>
    <n v="70"/>
  </r>
  <r>
    <s v="S-358"/>
    <s v="Sopron"/>
    <s v="Soproni"/>
    <x v="48"/>
    <x v="1"/>
    <s v="aug. vége"/>
    <n v="170"/>
  </r>
  <r>
    <s v="S-359"/>
    <s v="Sopron"/>
    <s v="Soproni"/>
    <x v="49"/>
    <x v="1"/>
    <s v="okt. vége"/>
    <n v="160"/>
  </r>
  <r>
    <s v="B-360"/>
    <s v="Balaton"/>
    <s v="Balatonboglári"/>
    <x v="18"/>
    <x v="1"/>
    <s v="szept. vége"/>
    <n v="100"/>
  </r>
  <r>
    <s v="P-361"/>
    <s v="Pannon"/>
    <s v="Szekszárdi"/>
    <x v="14"/>
    <x v="0"/>
    <s v="szept. vége"/>
    <n v="70"/>
  </r>
  <r>
    <s v="A-362"/>
    <s v="Alföld (Duna)"/>
    <s v="Csongrádi"/>
    <x v="5"/>
    <x v="1"/>
    <s v="szept. közepe"/>
    <n v="90"/>
  </r>
  <r>
    <s v="A-363"/>
    <s v="Alföld (Duna)"/>
    <s v="Kunsági"/>
    <x v="0"/>
    <x v="0"/>
    <s v="szept. vége"/>
    <n v="270"/>
  </r>
  <r>
    <s v="P-364"/>
    <s v="Pannon"/>
    <s v="Szekszárdi"/>
    <x v="0"/>
    <x v="0"/>
    <s v="szept. vége"/>
    <n v="60"/>
  </r>
  <r>
    <s v="A-365"/>
    <s v="Alföld (Duna)"/>
    <s v="Csongrádi"/>
    <x v="25"/>
    <x v="1"/>
    <s v="szept. vége"/>
    <n v="80"/>
  </r>
  <r>
    <s v="É-366"/>
    <s v="Észak-Dunántúli"/>
    <s v="Pannonhalmi"/>
    <x v="45"/>
    <x v="1"/>
    <s v="szept. vége"/>
    <n v="30"/>
  </r>
  <r>
    <s v="P-367"/>
    <s v="Pannon"/>
    <s v="Szekszárdi"/>
    <x v="63"/>
    <x v="0"/>
    <s v="okt. közepe"/>
    <n v="70"/>
  </r>
  <r>
    <s v="E-368"/>
    <s v="Eger"/>
    <s v="Mátrai"/>
    <x v="35"/>
    <x v="0"/>
    <s v="okt. eleje"/>
    <n v="210"/>
  </r>
  <r>
    <s v="É-369"/>
    <s v="Észak-Dunántúli"/>
    <s v="Etyek-Budai"/>
    <x v="64"/>
    <x v="1"/>
    <s v="szept. közepe"/>
    <n v="60"/>
  </r>
  <r>
    <s v="A-370"/>
    <s v="Alföld (Duna)"/>
    <s v="Kunsági"/>
    <x v="7"/>
    <x v="1"/>
    <s v="szept. közepe"/>
    <n v="270"/>
  </r>
  <r>
    <s v="P-371"/>
    <s v="Pannon"/>
    <s v="Pécsi"/>
    <x v="17"/>
    <x v="1"/>
    <s v="szept. közepe"/>
    <n v="30"/>
  </r>
  <r>
    <s v="B-372"/>
    <s v="Balaton"/>
    <s v="Badacsonyi"/>
    <x v="65"/>
    <x v="1"/>
    <s v="szept. vége"/>
    <n v="70"/>
  </r>
  <r>
    <s v="B-373"/>
    <s v="Balaton"/>
    <s v="Zalai"/>
    <x v="9"/>
    <x v="0"/>
    <s v="okt. eleje"/>
    <n v="80"/>
  </r>
  <r>
    <s v="É-374"/>
    <s v="Észak-Dunántúli"/>
    <s v="Móri"/>
    <x v="18"/>
    <x v="1"/>
    <s v="szept. vége"/>
    <n v="120"/>
  </r>
  <r>
    <s v="É-375"/>
    <s v="Észak-Dunántúli"/>
    <s v="Pannonhalmi"/>
    <x v="3"/>
    <x v="1"/>
    <s v="okt. eleje"/>
    <n v="20"/>
  </r>
  <r>
    <s v="B-376"/>
    <s v="Balaton"/>
    <s v="Balatonboglári"/>
    <x v="4"/>
    <x v="1"/>
    <s v="szept. eleje"/>
    <n v="90"/>
  </r>
  <r>
    <s v="E-377"/>
    <s v="Eger"/>
    <s v="Bükki"/>
    <x v="7"/>
    <x v="1"/>
    <s v="szept. közepe"/>
    <n v="110"/>
  </r>
  <r>
    <s v="T-378"/>
    <s v="Tokaj-hegyalja"/>
    <s v="Tokaji"/>
    <x v="66"/>
    <x v="1"/>
    <s v="szept. vége"/>
    <n v="220"/>
  </r>
  <r>
    <s v="B-379"/>
    <s v="Balaton"/>
    <s v="Balatonboglári"/>
    <x v="62"/>
    <x v="1"/>
    <s v="okt. közepe"/>
    <n v="90"/>
  </r>
  <r>
    <s v="A-380"/>
    <s v="Alföld (Duna)"/>
    <s v="Csongrádi"/>
    <x v="12"/>
    <x v="1"/>
    <s v="okt. közepe"/>
    <n v="80"/>
  </r>
  <r>
    <s v="P-381"/>
    <s v="Pannon"/>
    <s v="Tolnai"/>
    <x v="28"/>
    <x v="1"/>
    <s v="okt. eleje"/>
    <n v="80"/>
  </r>
  <r>
    <s v="A-382"/>
    <s v="Alföld (Duna)"/>
    <s v="Csongrádi"/>
    <x v="57"/>
    <x v="1"/>
    <s v="okt. eleje"/>
    <n v="80"/>
  </r>
  <r>
    <s v="B-383"/>
    <s v="Balaton"/>
    <s v="Balatonboglári"/>
    <x v="67"/>
    <x v="1"/>
    <s v="okt. eleje"/>
    <n v="100"/>
  </r>
  <r>
    <s v="E-384"/>
    <s v="Eger"/>
    <s v="Mátrai"/>
    <x v="13"/>
    <x v="1"/>
    <s v="szept. közepe"/>
    <n v="220"/>
  </r>
  <r>
    <s v="P-385"/>
    <s v="Pannon"/>
    <s v="Villányi"/>
    <x v="23"/>
    <x v="1"/>
    <s v="szept. vége"/>
    <n v="80"/>
  </r>
  <r>
    <s v="B-386"/>
    <s v="Balaton"/>
    <s v="Balatonboglári"/>
    <x v="3"/>
    <x v="1"/>
    <s v="okt. eleje"/>
    <n v="90"/>
  </r>
  <r>
    <s v="E-387"/>
    <s v="Eger"/>
    <s v="Egri"/>
    <x v="14"/>
    <x v="0"/>
    <s v="szept. vége"/>
    <n v="180"/>
  </r>
  <r>
    <s v="A-388"/>
    <s v="Alföld (Duna)"/>
    <s v="Hajós-Bajai"/>
    <x v="12"/>
    <x v="1"/>
    <s v="okt. közepe"/>
    <n v="70"/>
  </r>
  <r>
    <s v="B-389"/>
    <s v="Balaton"/>
    <s v="Badacsonyi"/>
    <x v="30"/>
    <x v="1"/>
    <s v="szept. vége"/>
    <n v="80"/>
  </r>
  <r>
    <s v="A-390"/>
    <s v="Alföld (Duna)"/>
    <s v="Csongrádi"/>
    <x v="37"/>
    <x v="1"/>
    <s v="okt. közepe"/>
    <n v="80"/>
  </r>
  <r>
    <s v="É-391"/>
    <s v="Észak-Dunántúli"/>
    <s v="Etyek-Budai"/>
    <x v="1"/>
    <x v="0"/>
    <s v="szept. vége"/>
    <n v="50"/>
  </r>
  <r>
    <s v="B-392"/>
    <s v="Balaton"/>
    <s v="Badacsonyi"/>
    <x v="11"/>
    <x v="0"/>
    <s v="okt. eleje"/>
    <n v="80"/>
  </r>
  <r>
    <s v="A-393"/>
    <s v="Alföld (Duna)"/>
    <s v="Hajós-Bajai"/>
    <x v="41"/>
    <x v="1"/>
    <s v="szept. közepe"/>
    <n v="60"/>
  </r>
  <r>
    <s v="P-394"/>
    <s v="Pannon"/>
    <s v="Pécsi"/>
    <x v="9"/>
    <x v="0"/>
    <s v="okt. eleje"/>
    <n v="20"/>
  </r>
  <r>
    <s v="P-395"/>
    <s v="Pannon"/>
    <s v="Szekszárdi"/>
    <x v="3"/>
    <x v="1"/>
    <s v="okt. eleje"/>
    <n v="70"/>
  </r>
  <r>
    <s v="B-396"/>
    <s v="Balaton"/>
    <s v="Badacsonyi"/>
    <x v="68"/>
    <x v="1"/>
    <s v="okt. eleje"/>
    <n v="70"/>
  </r>
  <r>
    <s v="B-397"/>
    <s v="Balaton"/>
    <s v="Zalai"/>
    <x v="39"/>
    <x v="1"/>
    <s v="aug. vége"/>
    <n v="80"/>
  </r>
  <r>
    <s v="E-398"/>
    <s v="Eger"/>
    <s v="Mátrai"/>
    <x v="28"/>
    <x v="1"/>
    <s v="okt. eleje"/>
    <n v="210"/>
  </r>
  <r>
    <s v="É-399"/>
    <s v="Észak-Dunántúli"/>
    <s v="Etyek-Budai"/>
    <x v="11"/>
    <x v="0"/>
    <s v="okt. eleje"/>
    <n v="50"/>
  </r>
  <r>
    <s v="T-400"/>
    <s v="Tokaj-hegyalja"/>
    <s v="Tokaji"/>
    <x v="69"/>
    <x v="1"/>
    <s v="okt. eleje"/>
    <n v="230"/>
  </r>
  <r>
    <s v="S-401"/>
    <s v="Sopron"/>
    <s v="Soproni"/>
    <x v="31"/>
    <x v="1"/>
    <s v="szept. vége"/>
    <n v="170"/>
  </r>
  <r>
    <s v="P-402"/>
    <s v="Pannon"/>
    <s v="Tolnai"/>
    <x v="33"/>
    <x v="1"/>
    <s v="szept. vége"/>
    <n v="90"/>
  </r>
  <r>
    <s v="P-403"/>
    <s v="Pannon"/>
    <s v="Szekszárdi"/>
    <x v="25"/>
    <x v="1"/>
    <s v="szept. vége"/>
    <n v="70"/>
  </r>
  <r>
    <s v="B-404"/>
    <s v="Balaton"/>
    <s v="Badacsonyi"/>
    <x v="13"/>
    <x v="1"/>
    <s v="szept. közepe"/>
    <n v="80"/>
  </r>
  <r>
    <s v="A-405"/>
    <s v="Alföld (Duna)"/>
    <s v="Hajós-Bajai"/>
    <x v="9"/>
    <x v="0"/>
    <s v="okt. eleje"/>
    <n v="60"/>
  </r>
  <r>
    <s v="É-406"/>
    <s v="Észak-Dunántúli"/>
    <s v="Neszmélyi"/>
    <x v="57"/>
    <x v="1"/>
    <s v="okt. eleje"/>
    <n v="60"/>
  </r>
  <r>
    <s v="É-407"/>
    <s v="Észak-Dunántúli"/>
    <s v="Etyek-Budai"/>
    <x v="14"/>
    <x v="0"/>
    <s v="szept. vége"/>
    <n v="50"/>
  </r>
  <r>
    <s v="P-408"/>
    <s v="Pannon"/>
    <s v="Tolnai"/>
    <x v="15"/>
    <x v="1"/>
    <s v="okt. vége"/>
    <n v="80"/>
  </r>
  <r>
    <s v="É-409"/>
    <s v="Észak-Dunántúli"/>
    <s v="Pannonhalmi"/>
    <x v="19"/>
    <x v="0"/>
    <s v="okt. eleje"/>
    <n v="20"/>
  </r>
  <r>
    <s v="É-410"/>
    <s v="Észak-Dunántúli"/>
    <s v="Etyek-Budai"/>
    <x v="46"/>
    <x v="0"/>
    <s v="szept. eleje"/>
    <n v="60"/>
  </r>
  <r>
    <s v="P-411"/>
    <s v="Pannon"/>
    <s v="Tolnai"/>
    <x v="7"/>
    <x v="1"/>
    <s v="szept. közepe"/>
    <n v="90"/>
  </r>
  <r>
    <s v="A-412"/>
    <s v="Alföld (Duna)"/>
    <s v="Hajós-Bajai"/>
    <x v="1"/>
    <x v="0"/>
    <s v="szept. vége"/>
    <n v="60"/>
  </r>
  <r>
    <s v="P-413"/>
    <s v="Pannon"/>
    <s v="Villányi"/>
    <x v="1"/>
    <x v="0"/>
    <s v="szept. vége"/>
    <n v="90"/>
  </r>
  <r>
    <s v="E-414"/>
    <s v="Eger"/>
    <s v="Egri"/>
    <x v="30"/>
    <x v="1"/>
    <s v="szept. vége"/>
    <n v="190"/>
  </r>
  <r>
    <s v="B-415"/>
    <s v="Balaton"/>
    <s v="Zalai"/>
    <x v="41"/>
    <x v="1"/>
    <s v="szept. közepe"/>
    <n v="70"/>
  </r>
  <r>
    <s v="P-416"/>
    <s v="Pannon"/>
    <s v="Pécsi"/>
    <x v="6"/>
    <x v="0"/>
    <s v="okt. közepe"/>
    <n v="20"/>
  </r>
  <r>
    <s v="P-417"/>
    <s v="Pannon"/>
    <s v="Pécsi"/>
    <x v="14"/>
    <x v="0"/>
    <s v="szept. vége"/>
    <n v="30"/>
  </r>
  <r>
    <s v="S-418"/>
    <s v="Sopron"/>
    <s v="Soproni"/>
    <x v="10"/>
    <x v="0"/>
    <s v="okt. közepe"/>
    <n v="95"/>
  </r>
  <r>
    <s v="É-419"/>
    <s v="Észak-Dunántúli"/>
    <s v="Etyek-Budai"/>
    <x v="30"/>
    <x v="1"/>
    <s v="szept. vége"/>
    <n v="60"/>
  </r>
  <r>
    <s v="A-420"/>
    <s v="Alföld (Duna)"/>
    <s v="Kunsági"/>
    <x v="37"/>
    <x v="1"/>
    <s v="okt. közepe"/>
    <n v="70"/>
  </r>
  <r>
    <s v="E-421"/>
    <s v="Eger"/>
    <s v="Mátrai"/>
    <x v="57"/>
    <x v="1"/>
    <s v="okt. eleje"/>
    <n v="210"/>
  </r>
  <r>
    <s v="É-422"/>
    <s v="Észak-Dunántúli"/>
    <s v="Etyek-Budai"/>
    <x v="16"/>
    <x v="1"/>
    <s v="szept. eleje"/>
    <n v="50"/>
  </r>
  <r>
    <s v="E-423"/>
    <s v="Eger"/>
    <s v="Mátrai"/>
    <x v="2"/>
    <x v="1"/>
    <s v="szept. vége"/>
    <n v="220"/>
  </r>
  <r>
    <s v="E-424"/>
    <s v="Eger"/>
    <s v="Mátrai"/>
    <x v="15"/>
    <x v="1"/>
    <s v="okt. vége"/>
    <n v="220"/>
  </r>
  <r>
    <s v="A-425"/>
    <s v="Alföld (Duna)"/>
    <s v="Hajós-Bajai"/>
    <x v="2"/>
    <x v="1"/>
    <s v="szept. vége"/>
    <n v="60"/>
  </r>
  <r>
    <s v="B-426"/>
    <s v="Balaton"/>
    <s v="Zalai"/>
    <x v="43"/>
    <x v="1"/>
    <s v="okt. közepe"/>
    <n v="80"/>
  </r>
  <r>
    <s v="S-427"/>
    <s v="Sopron"/>
    <s v="Soproni"/>
    <x v="0"/>
    <x v="0"/>
    <s v="szept. vége"/>
    <n v="230"/>
  </r>
  <r>
    <s v="P-428"/>
    <s v="Pannon"/>
    <s v="Tolnai"/>
    <x v="2"/>
    <x v="1"/>
    <s v="szept. vége"/>
    <n v="90"/>
  </r>
  <r>
    <s v="A-429"/>
    <s v="Alföld (Duna)"/>
    <s v="Csongrádi"/>
    <x v="41"/>
    <x v="1"/>
    <s v="szept. közepe"/>
    <n v="80"/>
  </r>
  <r>
    <s v="S-430"/>
    <s v="Sopron"/>
    <s v="Soproni"/>
    <x v="25"/>
    <x v="1"/>
    <s v="szept. vége"/>
    <n v="170"/>
  </r>
  <r>
    <s v="B-431"/>
    <s v="Balaton"/>
    <s v="Badacsonyi"/>
    <x v="12"/>
    <x v="1"/>
    <s v="okt. közepe"/>
    <n v="80"/>
  </r>
  <r>
    <s v="P-432"/>
    <s v="Pannon"/>
    <s v="Villányi"/>
    <x v="16"/>
    <x v="1"/>
    <s v="szept. eleje"/>
    <n v="80"/>
  </r>
  <r>
    <s v="E-433"/>
    <s v="Eger"/>
    <s v="Egri"/>
    <x v="8"/>
    <x v="0"/>
    <s v="okt. közepe"/>
    <n v="180"/>
  </r>
  <r>
    <s v="P-434"/>
    <s v="Pannon"/>
    <s v="Tolnai"/>
    <x v="3"/>
    <x v="1"/>
    <s v="okt. eleje"/>
    <n v="90"/>
  </r>
  <r>
    <s v="E-435"/>
    <s v="Eger"/>
    <s v="Mátrai"/>
    <x v="3"/>
    <x v="1"/>
    <s v="okt. eleje"/>
    <n v="210"/>
  </r>
  <r>
    <s v="P-436"/>
    <s v="Pannon"/>
    <s v="Tolnai"/>
    <x v="13"/>
    <x v="1"/>
    <s v="szept. közepe"/>
    <n v="80"/>
  </r>
  <r>
    <s v="B-437"/>
    <s v="Balaton"/>
    <s v="Balatonfüred-Csopaki"/>
    <x v="19"/>
    <x v="0"/>
    <s v="okt. eleje"/>
    <n v="220"/>
  </r>
  <r>
    <s v="B-438"/>
    <s v="Balaton"/>
    <s v="Balatonboglári"/>
    <x v="0"/>
    <x v="0"/>
    <s v="szept. vége"/>
    <n v="100"/>
  </r>
  <r>
    <s v="P-439"/>
    <s v="Pannon"/>
    <s v="Tolnai"/>
    <x v="1"/>
    <x v="0"/>
    <s v="szept. vége"/>
    <n v="90"/>
  </r>
  <r>
    <s v="É-440"/>
    <s v="Észak-Dunántúli"/>
    <s v="Etyek-Budai"/>
    <x v="4"/>
    <x v="1"/>
    <s v="szept. eleje"/>
    <n v="60"/>
  </r>
  <r>
    <s v="S-441"/>
    <s v="Sopron"/>
    <s v="Soproni"/>
    <x v="30"/>
    <x v="1"/>
    <s v="szept. vége"/>
    <n v="16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8">
  <r>
    <n v="1"/>
    <x v="0"/>
    <s v="UYV-076"/>
    <x v="0"/>
    <d v="2009-06-27T00:00:00"/>
    <x v="0"/>
    <n v="265000"/>
    <x v="0"/>
  </r>
  <r>
    <n v="2"/>
    <x v="1"/>
    <s v="UCU-590"/>
    <x v="1"/>
    <d v="2009-07-04T00:00:00"/>
    <x v="1"/>
    <n v="256000"/>
    <x v="1"/>
  </r>
  <r>
    <n v="3"/>
    <x v="2"/>
    <s v="MPI-909"/>
    <x v="1"/>
    <d v="2009-07-08T00:00:00"/>
    <x v="0"/>
    <n v="244900"/>
    <x v="0"/>
  </r>
  <r>
    <n v="4"/>
    <x v="3"/>
    <s v="BHQ-473"/>
    <x v="2"/>
    <d v="2009-07-09T00:00:00"/>
    <x v="1"/>
    <n v="390200"/>
    <x v="2"/>
  </r>
  <r>
    <n v="5"/>
    <x v="2"/>
    <s v="OGH-586"/>
    <x v="3"/>
    <d v="2009-07-20T00:00:00"/>
    <x v="0"/>
    <n v="246700"/>
    <x v="1"/>
  </r>
  <r>
    <n v="6"/>
    <x v="4"/>
    <s v="IBY-325"/>
    <x v="0"/>
    <d v="2009-07-26T00:00:00"/>
    <x v="1"/>
    <n v="481900"/>
    <x v="0"/>
  </r>
  <r>
    <n v="7"/>
    <x v="2"/>
    <s v="TRZ-647"/>
    <x v="4"/>
    <d v="2009-07-27T00:00:00"/>
    <x v="1"/>
    <n v="243800"/>
    <x v="3"/>
  </r>
  <r>
    <n v="8"/>
    <x v="5"/>
    <s v="HYZ-268"/>
    <x v="1"/>
    <d v="2009-07-26T00:00:00"/>
    <x v="1"/>
    <n v="983800"/>
    <x v="3"/>
  </r>
  <r>
    <n v="9"/>
    <x v="6"/>
    <s v="TGU-488"/>
    <x v="4"/>
    <d v="2009-08-02T00:00:00"/>
    <x v="0"/>
    <n v="271300"/>
    <x v="3"/>
  </r>
  <r>
    <n v="10"/>
    <x v="2"/>
    <s v="QAV-783"/>
    <x v="4"/>
    <d v="2009-08-04T00:00:00"/>
    <x v="1"/>
    <n v="293700"/>
    <x v="1"/>
  </r>
  <r>
    <n v="11"/>
    <x v="2"/>
    <s v="QAV-783"/>
    <x v="4"/>
    <d v="2009-07-27T00:00:00"/>
    <x v="1"/>
    <n v="441300"/>
    <x v="1"/>
  </r>
  <r>
    <n v="12"/>
    <x v="6"/>
    <s v="FNJ-604"/>
    <x v="1"/>
    <d v="2009-08-03T00:00:00"/>
    <x v="0"/>
    <n v="267800"/>
    <x v="3"/>
  </r>
  <r>
    <n v="13"/>
    <x v="7"/>
    <s v="MMJ-186"/>
    <x v="0"/>
    <d v="2009-08-06T00:00:00"/>
    <x v="1"/>
    <n v="275600"/>
    <x v="3"/>
  </r>
  <r>
    <n v="14"/>
    <x v="1"/>
    <s v="SMU-668"/>
    <x v="0"/>
    <d v="2009-08-01T00:00:00"/>
    <x v="0"/>
    <n v="256600"/>
    <x v="2"/>
  </r>
  <r>
    <n v="15"/>
    <x v="6"/>
    <s v="PIX-002"/>
    <x v="1"/>
    <d v="2009-08-08T00:00:00"/>
    <x v="0"/>
    <n v="354500"/>
    <x v="0"/>
  </r>
  <r>
    <n v="16"/>
    <x v="8"/>
    <s v="NCG-044"/>
    <x v="0"/>
    <d v="2009-08-17T00:00:00"/>
    <x v="1"/>
    <n v="237800"/>
    <x v="1"/>
  </r>
  <r>
    <n v="17"/>
    <x v="5"/>
    <s v="GGJ-297"/>
    <x v="1"/>
    <d v="2009-08-16T00:00:00"/>
    <x v="1"/>
    <n v="356600"/>
    <x v="0"/>
  </r>
  <r>
    <n v="18"/>
    <x v="9"/>
    <s v="BSB-354"/>
    <x v="4"/>
    <d v="2009-08-19T00:00:00"/>
    <x v="1"/>
    <n v="245100"/>
    <x v="2"/>
  </r>
  <r>
    <n v="19"/>
    <x v="2"/>
    <s v="TRZ-647"/>
    <x v="4"/>
    <d v="2009-08-24T00:00:00"/>
    <x v="1"/>
    <n v="283700"/>
    <x v="3"/>
  </r>
  <r>
    <n v="20"/>
    <x v="5"/>
    <s v="LCV-769"/>
    <x v="4"/>
    <d v="2009-08-27T00:00:00"/>
    <x v="1"/>
    <n v="279000"/>
    <x v="2"/>
  </r>
  <r>
    <n v="21"/>
    <x v="4"/>
    <s v="AAW-520"/>
    <x v="4"/>
    <d v="2009-09-01T00:00:00"/>
    <x v="0"/>
    <n v="285900"/>
    <x v="1"/>
  </r>
  <r>
    <n v="22"/>
    <x v="5"/>
    <s v="LCV-769"/>
    <x v="4"/>
    <d v="2009-09-06T00:00:00"/>
    <x v="0"/>
    <n v="259900"/>
    <x v="2"/>
  </r>
  <r>
    <n v="23"/>
    <x v="10"/>
    <s v="LIG-440"/>
    <x v="1"/>
    <d v="2009-09-02T00:00:00"/>
    <x v="1"/>
    <n v="255900"/>
    <x v="3"/>
  </r>
  <r>
    <n v="24"/>
    <x v="0"/>
    <s v="FSV-125"/>
    <x v="0"/>
    <d v="2009-09-06T00:00:00"/>
    <x v="1"/>
    <n v="264500"/>
    <x v="3"/>
  </r>
  <r>
    <n v="25"/>
    <x v="11"/>
    <s v="RSX-844"/>
    <x v="2"/>
    <d v="2009-09-14T00:00:00"/>
    <x v="1"/>
    <n v="486700"/>
    <x v="2"/>
  </r>
  <r>
    <n v="26"/>
    <x v="2"/>
    <s v="AUK-108"/>
    <x v="0"/>
    <d v="2009-09-14T00:00:00"/>
    <x v="1"/>
    <n v="276800"/>
    <x v="2"/>
  </r>
  <r>
    <n v="27"/>
    <x v="12"/>
    <s v="WLK-100"/>
    <x v="0"/>
    <d v="2009-09-23T00:00:00"/>
    <x v="1"/>
    <n v="440100"/>
    <x v="1"/>
  </r>
  <r>
    <n v="28"/>
    <x v="2"/>
    <s v="IRF-014"/>
    <x v="0"/>
    <d v="2009-10-03T00:00:00"/>
    <x v="0"/>
    <n v="256600"/>
    <x v="1"/>
  </r>
  <r>
    <n v="29"/>
    <x v="13"/>
    <s v="JMS-051"/>
    <x v="2"/>
    <d v="2009-09-30T00:00:00"/>
    <x v="1"/>
    <n v="260000"/>
    <x v="0"/>
  </r>
  <r>
    <n v="30"/>
    <x v="10"/>
    <s v="ZTS-446"/>
    <x v="1"/>
    <d v="2009-10-11T00:00:00"/>
    <x v="0"/>
    <n v="280500"/>
    <x v="3"/>
  </r>
  <r>
    <n v="31"/>
    <x v="5"/>
    <s v="GGJ-297"/>
    <x v="1"/>
    <d v="2009-10-04T00:00:00"/>
    <x v="1"/>
    <n v="258800"/>
    <x v="0"/>
  </r>
  <r>
    <n v="32"/>
    <x v="0"/>
    <s v="BEH-120"/>
    <x v="3"/>
    <d v="2009-10-07T00:00:00"/>
    <x v="0"/>
    <n v="370400"/>
    <x v="0"/>
  </r>
  <r>
    <n v="33"/>
    <x v="5"/>
    <s v="HYZ-268"/>
    <x v="1"/>
    <d v="2009-10-09T00:00:00"/>
    <x v="1"/>
    <n v="340100"/>
    <x v="3"/>
  </r>
  <r>
    <n v="34"/>
    <x v="1"/>
    <s v="SMU-668"/>
    <x v="0"/>
    <d v="2009-10-17T00:00:00"/>
    <x v="0"/>
    <n v="269200"/>
    <x v="2"/>
  </r>
  <r>
    <n v="35"/>
    <x v="8"/>
    <s v="NCG-044"/>
    <x v="0"/>
    <d v="2009-10-17T00:00:00"/>
    <x v="0"/>
    <n v="460400"/>
    <x v="1"/>
  </r>
  <r>
    <n v="36"/>
    <x v="6"/>
    <s v="PIX-002"/>
    <x v="1"/>
    <d v="2009-10-27T00:00:00"/>
    <x v="1"/>
    <n v="300000"/>
    <x v="0"/>
  </r>
  <r>
    <n v="37"/>
    <x v="4"/>
    <s v="AAW-520"/>
    <x v="4"/>
    <d v="2009-10-19T00:00:00"/>
    <x v="0"/>
    <n v="250700"/>
    <x v="1"/>
  </r>
  <r>
    <n v="38"/>
    <x v="7"/>
    <s v="BSY-851"/>
    <x v="0"/>
    <d v="2009-10-26T00:00:00"/>
    <x v="1"/>
    <n v="258800"/>
    <x v="3"/>
  </r>
  <r>
    <n v="39"/>
    <x v="0"/>
    <s v="UYV-076"/>
    <x v="0"/>
    <d v="2009-10-24T00:00:00"/>
    <x v="0"/>
    <n v="266400"/>
    <x v="0"/>
  </r>
  <r>
    <n v="40"/>
    <x v="9"/>
    <s v="EKR-064"/>
    <x v="4"/>
    <d v="2009-11-02T00:00:00"/>
    <x v="1"/>
    <n v="292500"/>
    <x v="1"/>
  </r>
  <r>
    <n v="41"/>
    <x v="4"/>
    <s v="IBY-325"/>
    <x v="0"/>
    <d v="2009-11-02T00:00:00"/>
    <x v="0"/>
    <n v="364800"/>
    <x v="0"/>
  </r>
  <r>
    <n v="42"/>
    <x v="2"/>
    <s v="IRF-014"/>
    <x v="0"/>
    <d v="2009-11-07T00:00:00"/>
    <x v="1"/>
    <n v="279000"/>
    <x v="1"/>
  </r>
  <r>
    <n v="43"/>
    <x v="7"/>
    <s v="BSY-851"/>
    <x v="0"/>
    <d v="2009-11-10T00:00:00"/>
    <x v="0"/>
    <n v="784100"/>
    <x v="3"/>
  </r>
  <r>
    <n v="44"/>
    <x v="2"/>
    <s v="TRZ-647"/>
    <x v="4"/>
    <d v="2009-11-11T00:00:00"/>
    <x v="0"/>
    <n v="441000"/>
    <x v="3"/>
  </r>
  <r>
    <n v="45"/>
    <x v="2"/>
    <s v="OGH-586"/>
    <x v="3"/>
    <d v="2009-11-15T00:00:00"/>
    <x v="0"/>
    <n v="238500"/>
    <x v="1"/>
  </r>
  <r>
    <n v="46"/>
    <x v="5"/>
    <s v="TMH-386"/>
    <x v="1"/>
    <d v="2009-11-14T00:00:00"/>
    <x v="1"/>
    <n v="1037000"/>
    <x v="1"/>
  </r>
  <r>
    <n v="47"/>
    <x v="5"/>
    <s v="GGJ-297"/>
    <x v="1"/>
    <d v="2009-11-23T00:00:00"/>
    <x v="0"/>
    <n v="251300"/>
    <x v="0"/>
  </r>
  <r>
    <n v="48"/>
    <x v="2"/>
    <s v="OGH-586"/>
    <x v="3"/>
    <d v="2009-11-19T00:00:00"/>
    <x v="1"/>
    <n v="278600"/>
    <x v="1"/>
  </r>
  <r>
    <n v="49"/>
    <x v="9"/>
    <s v="HOX-539"/>
    <x v="4"/>
    <d v="2009-11-23T00:00:00"/>
    <x v="1"/>
    <n v="456400"/>
    <x v="1"/>
  </r>
  <r>
    <n v="50"/>
    <x v="0"/>
    <s v="BUY-359"/>
    <x v="0"/>
    <d v="2009-12-09T00:00:00"/>
    <x v="1"/>
    <n v="259200"/>
    <x v="3"/>
  </r>
  <r>
    <n v="51"/>
    <x v="1"/>
    <s v="SMU-668"/>
    <x v="0"/>
    <d v="2009-12-09T00:00:00"/>
    <x v="1"/>
    <n v="286100"/>
    <x v="2"/>
  </r>
  <r>
    <n v="52"/>
    <x v="2"/>
    <s v="OGH-586"/>
    <x v="3"/>
    <d v="2009-12-04T00:00:00"/>
    <x v="1"/>
    <n v="266100"/>
    <x v="1"/>
  </r>
  <r>
    <n v="53"/>
    <x v="4"/>
    <s v="HPA-704"/>
    <x v="3"/>
    <d v="2009-12-04T00:00:00"/>
    <x v="0"/>
    <n v="843700"/>
    <x v="0"/>
  </r>
  <r>
    <n v="54"/>
    <x v="8"/>
    <s v="YUF-368"/>
    <x v="0"/>
    <d v="2009-12-07T00:00:00"/>
    <x v="1"/>
    <n v="305700"/>
    <x v="1"/>
  </r>
  <r>
    <n v="55"/>
    <x v="3"/>
    <s v="BHQ-473"/>
    <x v="2"/>
    <d v="2009-12-22T00:00:00"/>
    <x v="1"/>
    <n v="658300"/>
    <x v="2"/>
  </r>
  <r>
    <n v="56"/>
    <x v="6"/>
    <s v="TGU-488"/>
    <x v="4"/>
    <d v="2009-12-31T00:00:00"/>
    <x v="0"/>
    <n v="269900"/>
    <x v="3"/>
  </r>
  <r>
    <n v="57"/>
    <x v="10"/>
    <s v="JNV-031"/>
    <x v="3"/>
    <d v="2009-12-29T00:00:00"/>
    <x v="0"/>
    <n v="246700"/>
    <x v="3"/>
  </r>
  <r>
    <n v="58"/>
    <x v="0"/>
    <s v="UYV-076"/>
    <x v="0"/>
    <d v="2009-12-29T00:00:00"/>
    <x v="1"/>
    <n v="758600"/>
    <x v="0"/>
  </r>
  <r>
    <n v="59"/>
    <x v="5"/>
    <s v="GQQ-394"/>
    <x v="0"/>
    <d v="2010-01-05T00:00:00"/>
    <x v="0"/>
    <n v="270100"/>
    <x v="3"/>
  </r>
  <r>
    <n v="60"/>
    <x v="12"/>
    <s v="RYN-380"/>
    <x v="1"/>
    <d v="2009-12-30T00:00:00"/>
    <x v="0"/>
    <n v="291000"/>
    <x v="0"/>
  </r>
  <r>
    <n v="61"/>
    <x v="6"/>
    <s v="AKD-565"/>
    <x v="0"/>
    <d v="2009-12-30T00:00:00"/>
    <x v="0"/>
    <n v="1063100"/>
    <x v="0"/>
  </r>
  <r>
    <n v="62"/>
    <x v="12"/>
    <s v="RYN-380"/>
    <x v="1"/>
    <d v="2010-01-03T00:00:00"/>
    <x v="1"/>
    <n v="328900"/>
    <x v="0"/>
  </r>
  <r>
    <n v="63"/>
    <x v="5"/>
    <s v="RHL-469"/>
    <x v="0"/>
    <d v="2010-01-05T00:00:00"/>
    <x v="1"/>
    <n v="339700"/>
    <x v="2"/>
  </r>
  <r>
    <n v="64"/>
    <x v="14"/>
    <s v="TXD-461"/>
    <x v="2"/>
    <d v="2010-01-12T00:00:00"/>
    <x v="1"/>
    <n v="293200"/>
    <x v="3"/>
  </r>
  <r>
    <n v="65"/>
    <x v="9"/>
    <s v="EKR-064"/>
    <x v="4"/>
    <d v="2010-01-13T00:00:00"/>
    <x v="1"/>
    <n v="818400"/>
    <x v="1"/>
  </r>
  <r>
    <n v="66"/>
    <x v="7"/>
    <s v="LAD-215"/>
    <x v="0"/>
    <d v="2010-01-15T00:00:00"/>
    <x v="1"/>
    <n v="1094300"/>
    <x v="1"/>
  </r>
  <r>
    <n v="67"/>
    <x v="9"/>
    <s v="HOX-539"/>
    <x v="4"/>
    <d v="2010-01-23T00:00:00"/>
    <x v="1"/>
    <n v="268200"/>
    <x v="1"/>
  </r>
  <r>
    <n v="68"/>
    <x v="12"/>
    <s v="WLK-100"/>
    <x v="0"/>
    <d v="2010-01-25T00:00:00"/>
    <x v="1"/>
    <n v="274200"/>
    <x v="1"/>
  </r>
  <r>
    <n v="69"/>
    <x v="12"/>
    <s v="IXP-392"/>
    <x v="0"/>
    <d v="2010-01-28T00:00:00"/>
    <x v="1"/>
    <n v="487400"/>
    <x v="1"/>
  </r>
  <r>
    <n v="70"/>
    <x v="3"/>
    <s v="HBE-391"/>
    <x v="2"/>
    <d v="2010-02-01T00:00:00"/>
    <x v="1"/>
    <n v="421600"/>
    <x v="1"/>
  </r>
  <r>
    <n v="71"/>
    <x v="8"/>
    <s v="NCG-044"/>
    <x v="0"/>
    <d v="2010-02-06T00:00:00"/>
    <x v="1"/>
    <n v="389400"/>
    <x v="1"/>
  </r>
  <r>
    <n v="72"/>
    <x v="12"/>
    <s v="IXP-392"/>
    <x v="0"/>
    <d v="2010-02-17T00:00:00"/>
    <x v="1"/>
    <n v="239700"/>
    <x v="1"/>
  </r>
  <r>
    <n v="73"/>
    <x v="10"/>
    <s v="ZTS-446"/>
    <x v="1"/>
    <d v="2010-02-19T00:00:00"/>
    <x v="0"/>
    <n v="279300"/>
    <x v="3"/>
  </r>
  <r>
    <n v="74"/>
    <x v="11"/>
    <s v="WEZ-675"/>
    <x v="2"/>
    <d v="2010-02-20T00:00:00"/>
    <x v="1"/>
    <n v="849700"/>
    <x v="3"/>
  </r>
  <r>
    <n v="75"/>
    <x v="15"/>
    <s v="ZPQ-733"/>
    <x v="3"/>
    <d v="2010-02-28T00:00:00"/>
    <x v="1"/>
    <n v="270300"/>
    <x v="0"/>
  </r>
  <r>
    <n v="76"/>
    <x v="4"/>
    <s v="HPA-704"/>
    <x v="3"/>
    <d v="2010-02-28T00:00:00"/>
    <x v="1"/>
    <n v="265500"/>
    <x v="0"/>
  </r>
  <r>
    <n v="77"/>
    <x v="2"/>
    <s v="QAV-783"/>
    <x v="4"/>
    <d v="2010-03-06T00:00:00"/>
    <x v="0"/>
    <n v="618500"/>
    <x v="1"/>
  </r>
  <r>
    <n v="78"/>
    <x v="12"/>
    <s v="WLK-100"/>
    <x v="0"/>
    <d v="2010-03-12T00:00:00"/>
    <x v="0"/>
    <n v="603900"/>
    <x v="1"/>
  </r>
  <r>
    <n v="79"/>
    <x v="15"/>
    <s v="ZPQ-733"/>
    <x v="3"/>
    <d v="2010-03-15T00:00:00"/>
    <x v="1"/>
    <n v="278900"/>
    <x v="0"/>
  </r>
  <r>
    <n v="80"/>
    <x v="8"/>
    <s v="NCG-044"/>
    <x v="0"/>
    <d v="2010-03-12T00:00:00"/>
    <x v="0"/>
    <n v="379100"/>
    <x v="1"/>
  </r>
  <r>
    <n v="81"/>
    <x v="10"/>
    <s v="YSQ-468"/>
    <x v="4"/>
    <d v="2010-03-12T00:00:00"/>
    <x v="1"/>
    <n v="380400"/>
    <x v="2"/>
  </r>
  <r>
    <n v="82"/>
    <x v="0"/>
    <s v="BUY-359"/>
    <x v="0"/>
    <d v="2010-03-25T00:00:00"/>
    <x v="1"/>
    <n v="297600"/>
    <x v="3"/>
  </r>
  <r>
    <n v="83"/>
    <x v="12"/>
    <s v="WLK-100"/>
    <x v="0"/>
    <d v="2010-03-29T00:00:00"/>
    <x v="1"/>
    <n v="295200"/>
    <x v="1"/>
  </r>
  <r>
    <n v="84"/>
    <x v="1"/>
    <s v="SMU-668"/>
    <x v="0"/>
    <d v="2010-04-03T00:00:00"/>
    <x v="1"/>
    <n v="284300"/>
    <x v="2"/>
  </r>
  <r>
    <n v="85"/>
    <x v="5"/>
    <s v="HYZ-268"/>
    <x v="1"/>
    <d v="2010-03-24T00:00:00"/>
    <x v="1"/>
    <n v="439100"/>
    <x v="3"/>
  </r>
  <r>
    <n v="86"/>
    <x v="0"/>
    <s v="FSV-125"/>
    <x v="0"/>
    <d v="2010-04-01T00:00:00"/>
    <x v="0"/>
    <n v="1094400"/>
    <x v="3"/>
  </r>
  <r>
    <n v="87"/>
    <x v="8"/>
    <s v="JSF-047"/>
    <x v="3"/>
    <d v="2010-04-02T00:00:00"/>
    <x v="1"/>
    <n v="263700"/>
    <x v="1"/>
  </r>
  <r>
    <n v="88"/>
    <x v="12"/>
    <s v="KSE-971"/>
    <x v="0"/>
    <d v="2010-04-17T00:00:00"/>
    <x v="1"/>
    <n v="323500"/>
    <x v="1"/>
  </r>
  <r>
    <n v="89"/>
    <x v="15"/>
    <s v="ZPQ-733"/>
    <x v="3"/>
    <d v="2010-04-27T00:00:00"/>
    <x v="1"/>
    <n v="300000"/>
    <x v="0"/>
  </r>
  <r>
    <n v="90"/>
    <x v="4"/>
    <s v="AAW-520"/>
    <x v="4"/>
    <d v="2010-04-25T00:00:00"/>
    <x v="0"/>
    <n v="486200"/>
    <x v="1"/>
  </r>
  <r>
    <n v="91"/>
    <x v="12"/>
    <s v="WLK-100"/>
    <x v="0"/>
    <d v="2010-04-23T00:00:00"/>
    <x v="1"/>
    <n v="281200"/>
    <x v="1"/>
  </r>
  <r>
    <n v="92"/>
    <x v="4"/>
    <s v="IBY-325"/>
    <x v="0"/>
    <d v="2010-04-22T00:00:00"/>
    <x v="0"/>
    <n v="294400"/>
    <x v="0"/>
  </r>
  <r>
    <n v="93"/>
    <x v="10"/>
    <s v="LIG-440"/>
    <x v="1"/>
    <d v="2010-04-30T00:00:00"/>
    <x v="1"/>
    <n v="418800"/>
    <x v="3"/>
  </r>
  <r>
    <n v="94"/>
    <x v="2"/>
    <s v="MPI-909"/>
    <x v="1"/>
    <d v="2010-05-12T00:00:00"/>
    <x v="0"/>
    <n v="870800"/>
    <x v="0"/>
  </r>
  <r>
    <n v="95"/>
    <x v="13"/>
    <s v="JMS-051"/>
    <x v="2"/>
    <d v="2010-05-21T00:00:00"/>
    <x v="0"/>
    <n v="899600"/>
    <x v="0"/>
  </r>
  <r>
    <n v="96"/>
    <x v="8"/>
    <s v="NCG-044"/>
    <x v="0"/>
    <d v="2010-05-26T00:00:00"/>
    <x v="1"/>
    <n v="825500"/>
    <x v="1"/>
  </r>
  <r>
    <n v="97"/>
    <x v="1"/>
    <s v="ZRJ-593"/>
    <x v="0"/>
    <d v="2010-05-28T00:00:00"/>
    <x v="0"/>
    <n v="238100"/>
    <x v="1"/>
  </r>
  <r>
    <n v="98"/>
    <x v="14"/>
    <s v="TXD-461"/>
    <x v="2"/>
    <d v="2010-06-01T00:00:00"/>
    <x v="1"/>
    <n v="484800"/>
    <x v="3"/>
  </r>
  <r>
    <n v="99"/>
    <x v="12"/>
    <s v="RYN-380"/>
    <x v="1"/>
    <d v="2010-06-11T00:00:00"/>
    <x v="1"/>
    <n v="243900"/>
    <x v="0"/>
  </r>
  <r>
    <n v="100"/>
    <x v="5"/>
    <s v="TMH-386"/>
    <x v="1"/>
    <d v="2010-06-11T00:00:00"/>
    <x v="1"/>
    <n v="273800"/>
    <x v="1"/>
  </r>
  <r>
    <n v="101"/>
    <x v="6"/>
    <s v="TGU-488"/>
    <x v="4"/>
    <d v="2010-06-12T00:00:00"/>
    <x v="0"/>
    <n v="288100"/>
    <x v="3"/>
  </r>
  <r>
    <n v="102"/>
    <x v="2"/>
    <s v="QAV-783"/>
    <x v="4"/>
    <d v="2010-06-09T00:00:00"/>
    <x v="1"/>
    <n v="483500"/>
    <x v="1"/>
  </r>
  <r>
    <n v="103"/>
    <x v="16"/>
    <s v="LFL-867"/>
    <x v="1"/>
    <d v="2010-06-06T00:00:00"/>
    <x v="1"/>
    <n v="235100"/>
    <x v="0"/>
  </r>
  <r>
    <n v="104"/>
    <x v="12"/>
    <s v="WLK-100"/>
    <x v="0"/>
    <d v="2010-06-16T00:00:00"/>
    <x v="0"/>
    <n v="368600"/>
    <x v="1"/>
  </r>
  <r>
    <n v="105"/>
    <x v="6"/>
    <s v="PIX-002"/>
    <x v="1"/>
    <d v="2010-06-20T00:00:00"/>
    <x v="1"/>
    <n v="275700"/>
    <x v="0"/>
  </r>
  <r>
    <n v="106"/>
    <x v="6"/>
    <s v="AKD-565"/>
    <x v="0"/>
    <d v="2010-07-03T00:00:00"/>
    <x v="1"/>
    <n v="292100"/>
    <x v="0"/>
  </r>
  <r>
    <n v="107"/>
    <x v="2"/>
    <s v="TRZ-647"/>
    <x v="4"/>
    <d v="2010-07-01T00:00:00"/>
    <x v="1"/>
    <n v="290400"/>
    <x v="3"/>
  </r>
  <r>
    <n v="108"/>
    <x v="5"/>
    <s v="GQQ-394"/>
    <x v="0"/>
    <d v="2010-07-03T00:00:00"/>
    <x v="0"/>
    <n v="390300"/>
    <x v="3"/>
  </r>
  <r>
    <n v="109"/>
    <x v="6"/>
    <s v="KEB-400"/>
    <x v="0"/>
    <d v="2010-07-03T00:00:00"/>
    <x v="1"/>
    <n v="246800"/>
    <x v="2"/>
  </r>
  <r>
    <n v="110"/>
    <x v="0"/>
    <s v="UYV-076"/>
    <x v="0"/>
    <d v="2010-07-05T00:00:00"/>
    <x v="1"/>
    <n v="870300"/>
    <x v="0"/>
  </r>
  <r>
    <n v="111"/>
    <x v="16"/>
    <s v="LFL-867"/>
    <x v="1"/>
    <d v="2010-07-08T00:00:00"/>
    <x v="1"/>
    <n v="406500"/>
    <x v="0"/>
  </r>
  <r>
    <n v="112"/>
    <x v="6"/>
    <s v="AKD-565"/>
    <x v="0"/>
    <d v="2010-07-15T00:00:00"/>
    <x v="0"/>
    <n v="240400"/>
    <x v="0"/>
  </r>
  <r>
    <n v="113"/>
    <x v="10"/>
    <s v="URR-404"/>
    <x v="1"/>
    <d v="2010-07-09T00:00:00"/>
    <x v="1"/>
    <n v="906500"/>
    <x v="1"/>
  </r>
  <r>
    <n v="114"/>
    <x v="0"/>
    <s v="BUY-359"/>
    <x v="0"/>
    <d v="2010-07-13T00:00:00"/>
    <x v="1"/>
    <n v="345700"/>
    <x v="3"/>
  </r>
  <r>
    <n v="115"/>
    <x v="7"/>
    <s v="BSY-851"/>
    <x v="0"/>
    <d v="2010-07-17T00:00:00"/>
    <x v="0"/>
    <n v="656800"/>
    <x v="3"/>
  </r>
  <r>
    <n v="116"/>
    <x v="3"/>
    <s v="HBE-391"/>
    <x v="2"/>
    <d v="2010-07-26T00:00:00"/>
    <x v="1"/>
    <n v="399100"/>
    <x v="1"/>
  </r>
  <r>
    <n v="117"/>
    <x v="10"/>
    <s v="LIG-440"/>
    <x v="1"/>
    <d v="2010-08-01T00:00:00"/>
    <x v="1"/>
    <n v="913500"/>
    <x v="3"/>
  </r>
  <r>
    <n v="118"/>
    <x v="6"/>
    <s v="QLT-781"/>
    <x v="0"/>
    <d v="2010-08-03T00:00:00"/>
    <x v="1"/>
    <n v="359100"/>
    <x v="0"/>
  </r>
  <r>
    <n v="119"/>
    <x v="0"/>
    <s v="ECO-657"/>
    <x v="0"/>
    <d v="2010-08-09T00:00:00"/>
    <x v="0"/>
    <n v="626100"/>
    <x v="2"/>
  </r>
  <r>
    <n v="120"/>
    <x v="10"/>
    <s v="ZTS-446"/>
    <x v="1"/>
    <d v="2010-08-13T00:00:00"/>
    <x v="0"/>
    <n v="308500"/>
    <x v="3"/>
  </r>
  <r>
    <n v="121"/>
    <x v="1"/>
    <s v="SMU-668"/>
    <x v="0"/>
    <d v="2010-08-16T00:00:00"/>
    <x v="1"/>
    <n v="346800"/>
    <x v="2"/>
  </r>
  <r>
    <n v="122"/>
    <x v="7"/>
    <s v="BSY-851"/>
    <x v="0"/>
    <d v="2010-08-26T00:00:00"/>
    <x v="1"/>
    <n v="956900"/>
    <x v="3"/>
  </r>
  <r>
    <n v="123"/>
    <x v="1"/>
    <s v="ZRJ-593"/>
    <x v="0"/>
    <d v="2010-08-28T00:00:00"/>
    <x v="1"/>
    <n v="784500"/>
    <x v="1"/>
  </r>
  <r>
    <n v="124"/>
    <x v="2"/>
    <s v="TRZ-647"/>
    <x v="4"/>
    <d v="2010-09-05T00:00:00"/>
    <x v="1"/>
    <n v="291700"/>
    <x v="3"/>
  </r>
  <r>
    <n v="125"/>
    <x v="17"/>
    <s v="IGX-960"/>
    <x v="1"/>
    <d v="2010-09-10T00:00:00"/>
    <x v="0"/>
    <n v="300500"/>
    <x v="2"/>
  </r>
  <r>
    <n v="126"/>
    <x v="12"/>
    <s v="RYN-380"/>
    <x v="1"/>
    <d v="2010-09-06T00:00:00"/>
    <x v="1"/>
    <n v="467400"/>
    <x v="0"/>
  </r>
  <r>
    <n v="127"/>
    <x v="6"/>
    <s v="QLT-781"/>
    <x v="0"/>
    <d v="2010-09-09T00:00:00"/>
    <x v="1"/>
    <n v="245600"/>
    <x v="0"/>
  </r>
  <r>
    <n v="128"/>
    <x v="12"/>
    <s v="ECQ-692"/>
    <x v="0"/>
    <d v="2010-09-11T00:00:00"/>
    <x v="1"/>
    <n v="285200"/>
    <x v="2"/>
  </r>
  <r>
    <n v="129"/>
    <x v="12"/>
    <s v="ECQ-692"/>
    <x v="0"/>
    <d v="2010-09-23T00:00:00"/>
    <x v="0"/>
    <n v="349100"/>
    <x v="2"/>
  </r>
  <r>
    <n v="130"/>
    <x v="16"/>
    <s v="NAX-299"/>
    <x v="4"/>
    <d v="2010-09-28T00:00:00"/>
    <x v="1"/>
    <n v="268300"/>
    <x v="1"/>
  </r>
  <r>
    <n v="131"/>
    <x v="12"/>
    <s v="IXP-392"/>
    <x v="0"/>
    <d v="2010-09-30T00:00:00"/>
    <x v="1"/>
    <n v="478400"/>
    <x v="1"/>
  </r>
  <r>
    <n v="132"/>
    <x v="3"/>
    <s v="BHQ-473"/>
    <x v="2"/>
    <d v="2010-10-11T00:00:00"/>
    <x v="1"/>
    <n v="267700"/>
    <x v="2"/>
  </r>
  <r>
    <n v="133"/>
    <x v="15"/>
    <s v="BND-497"/>
    <x v="4"/>
    <d v="2010-10-06T00:00:00"/>
    <x v="1"/>
    <n v="279900"/>
    <x v="2"/>
  </r>
  <r>
    <n v="134"/>
    <x v="4"/>
    <s v="HPA-704"/>
    <x v="3"/>
    <d v="2010-10-09T00:00:00"/>
    <x v="0"/>
    <n v="488200"/>
    <x v="0"/>
  </r>
  <r>
    <n v="135"/>
    <x v="2"/>
    <s v="OGH-586"/>
    <x v="3"/>
    <d v="2010-10-22T00:00:00"/>
    <x v="0"/>
    <n v="257000"/>
    <x v="1"/>
  </r>
  <r>
    <n v="136"/>
    <x v="12"/>
    <s v="LBX-793"/>
    <x v="4"/>
    <d v="2010-10-19T00:00:00"/>
    <x v="1"/>
    <n v="337100"/>
    <x v="3"/>
  </r>
  <r>
    <n v="137"/>
    <x v="6"/>
    <s v="PIX-002"/>
    <x v="1"/>
    <d v="2010-10-22T00:00:00"/>
    <x v="0"/>
    <n v="305100"/>
    <x v="0"/>
  </r>
  <r>
    <n v="138"/>
    <x v="0"/>
    <s v="ECO-657"/>
    <x v="0"/>
    <d v="2010-10-24T00:00:00"/>
    <x v="1"/>
    <n v="341300"/>
    <x v="2"/>
  </r>
  <r>
    <n v="139"/>
    <x v="10"/>
    <s v="ZTS-446"/>
    <x v="1"/>
    <d v="2010-11-01T00:00:00"/>
    <x v="0"/>
    <n v="440700"/>
    <x v="3"/>
  </r>
  <r>
    <n v="140"/>
    <x v="10"/>
    <s v="URR-404"/>
    <x v="1"/>
    <d v="2010-10-31T00:00:00"/>
    <x v="1"/>
    <n v="336800"/>
    <x v="1"/>
  </r>
  <r>
    <n v="141"/>
    <x v="17"/>
    <s v="THS-050"/>
    <x v="4"/>
    <d v="2010-11-05T00:00:00"/>
    <x v="1"/>
    <n v="269800"/>
    <x v="0"/>
  </r>
  <r>
    <n v="142"/>
    <x v="5"/>
    <s v="GGJ-297"/>
    <x v="1"/>
    <d v="2010-11-07T00:00:00"/>
    <x v="1"/>
    <n v="252100"/>
    <x v="0"/>
  </r>
  <r>
    <n v="143"/>
    <x v="12"/>
    <s v="LBX-793"/>
    <x v="4"/>
    <d v="2010-11-07T00:00:00"/>
    <x v="0"/>
    <n v="463000"/>
    <x v="3"/>
  </r>
  <r>
    <n v="144"/>
    <x v="7"/>
    <s v="MMJ-186"/>
    <x v="0"/>
    <d v="2010-11-10T00:00:00"/>
    <x v="0"/>
    <n v="762300"/>
    <x v="3"/>
  </r>
  <r>
    <n v="145"/>
    <x v="1"/>
    <s v="ZRJ-593"/>
    <x v="0"/>
    <d v="2010-11-14T00:00:00"/>
    <x v="0"/>
    <n v="263400"/>
    <x v="1"/>
  </r>
  <r>
    <n v="146"/>
    <x v="11"/>
    <s v="WEZ-675"/>
    <x v="2"/>
    <d v="2010-11-20T00:00:00"/>
    <x v="0"/>
    <n v="393200"/>
    <x v="3"/>
  </r>
  <r>
    <n v="147"/>
    <x v="4"/>
    <s v="AAW-520"/>
    <x v="4"/>
    <d v="2010-11-30T00:00:00"/>
    <x v="1"/>
    <n v="239600"/>
    <x v="1"/>
  </r>
  <r>
    <n v="148"/>
    <x v="12"/>
    <s v="IXP-392"/>
    <x v="0"/>
    <d v="2010-11-27T00:00:00"/>
    <x v="1"/>
    <n v="497000"/>
    <x v="1"/>
  </r>
  <r>
    <n v="149"/>
    <x v="7"/>
    <s v="BSY-851"/>
    <x v="0"/>
    <d v="2010-12-21T00:00:00"/>
    <x v="1"/>
    <n v="240100"/>
    <x v="3"/>
  </r>
  <r>
    <n v="150"/>
    <x v="0"/>
    <s v="FSV-125"/>
    <x v="0"/>
    <d v="2010-12-20T00:00:00"/>
    <x v="1"/>
    <n v="246300"/>
    <x v="3"/>
  </r>
  <r>
    <n v="151"/>
    <x v="10"/>
    <s v="LIG-440"/>
    <x v="1"/>
    <d v="2010-12-24T00:00:00"/>
    <x v="1"/>
    <n v="285200"/>
    <x v="3"/>
  </r>
  <r>
    <n v="152"/>
    <x v="5"/>
    <s v="HYZ-268"/>
    <x v="1"/>
    <d v="2010-12-24T00:00:00"/>
    <x v="0"/>
    <n v="649200"/>
    <x v="3"/>
  </r>
  <r>
    <n v="153"/>
    <x v="4"/>
    <s v="HPA-704"/>
    <x v="3"/>
    <d v="2010-12-30T00:00:00"/>
    <x v="1"/>
    <n v="384700"/>
    <x v="0"/>
  </r>
  <r>
    <n v="154"/>
    <x v="10"/>
    <s v="YSQ-468"/>
    <x v="4"/>
    <d v="2011-01-01T00:00:00"/>
    <x v="1"/>
    <n v="651100"/>
    <x v="2"/>
  </r>
  <r>
    <n v="155"/>
    <x v="8"/>
    <s v="YUF-368"/>
    <x v="0"/>
    <d v="2011-01-11T00:00:00"/>
    <x v="0"/>
    <n v="299200"/>
    <x v="1"/>
  </r>
  <r>
    <n v="156"/>
    <x v="3"/>
    <s v="HBE-391"/>
    <x v="2"/>
    <d v="2011-01-08T00:00:00"/>
    <x v="1"/>
    <n v="310900"/>
    <x v="1"/>
  </r>
  <r>
    <n v="157"/>
    <x v="2"/>
    <s v="AUK-108"/>
    <x v="0"/>
    <d v="2011-01-14T00:00:00"/>
    <x v="0"/>
    <n v="235300"/>
    <x v="2"/>
  </r>
  <r>
    <n v="158"/>
    <x v="6"/>
    <s v="FNJ-604"/>
    <x v="1"/>
    <d v="2011-01-17T00:00:00"/>
    <x v="1"/>
    <n v="291200"/>
    <x v="3"/>
  </r>
  <r>
    <n v="159"/>
    <x v="9"/>
    <s v="EKR-064"/>
    <x v="4"/>
    <d v="2011-01-21T00:00:00"/>
    <x v="0"/>
    <n v="741900"/>
    <x v="1"/>
  </r>
  <r>
    <n v="160"/>
    <x v="12"/>
    <s v="LBX-793"/>
    <x v="4"/>
    <d v="2011-01-21T00:00:00"/>
    <x v="1"/>
    <n v="278600"/>
    <x v="3"/>
  </r>
  <r>
    <n v="161"/>
    <x v="5"/>
    <s v="LCV-769"/>
    <x v="4"/>
    <d v="2011-01-25T00:00:00"/>
    <x v="1"/>
    <n v="257600"/>
    <x v="2"/>
  </r>
  <r>
    <n v="162"/>
    <x v="10"/>
    <s v="LIG-440"/>
    <x v="1"/>
    <d v="2011-01-31T00:00:00"/>
    <x v="1"/>
    <n v="246100"/>
    <x v="3"/>
  </r>
  <r>
    <n v="163"/>
    <x v="15"/>
    <s v="ZPQ-733"/>
    <x v="3"/>
    <d v="2011-01-30T00:00:00"/>
    <x v="0"/>
    <n v="296700"/>
    <x v="0"/>
  </r>
  <r>
    <n v="164"/>
    <x v="0"/>
    <s v="UYV-076"/>
    <x v="0"/>
    <d v="2011-02-02T00:00:00"/>
    <x v="1"/>
    <n v="242800"/>
    <x v="0"/>
  </r>
  <r>
    <n v="165"/>
    <x v="7"/>
    <s v="IMI-566"/>
    <x v="1"/>
    <d v="2011-02-02T00:00:00"/>
    <x v="0"/>
    <n v="686600"/>
    <x v="2"/>
  </r>
  <r>
    <n v="166"/>
    <x v="15"/>
    <s v="ZPQ-733"/>
    <x v="3"/>
    <d v="2011-02-10T00:00:00"/>
    <x v="0"/>
    <n v="292300"/>
    <x v="0"/>
  </r>
  <r>
    <n v="167"/>
    <x v="16"/>
    <s v="SUX-856"/>
    <x v="4"/>
    <d v="2011-02-08T00:00:00"/>
    <x v="1"/>
    <n v="238600"/>
    <x v="3"/>
  </r>
  <r>
    <n v="168"/>
    <x v="6"/>
    <s v="FNJ-604"/>
    <x v="1"/>
    <d v="2011-02-17T00:00:00"/>
    <x v="0"/>
    <n v="294100"/>
    <x v="3"/>
  </r>
  <r>
    <n v="169"/>
    <x v="10"/>
    <s v="LIG-440"/>
    <x v="1"/>
    <d v="2011-02-10T00:00:00"/>
    <x v="1"/>
    <n v="349500"/>
    <x v="3"/>
  </r>
  <r>
    <n v="170"/>
    <x v="0"/>
    <s v="BEH-120"/>
    <x v="3"/>
    <d v="2011-02-14T00:00:00"/>
    <x v="0"/>
    <n v="235500"/>
    <x v="0"/>
  </r>
  <r>
    <n v="171"/>
    <x v="10"/>
    <s v="YSQ-468"/>
    <x v="4"/>
    <d v="2011-02-16T00:00:00"/>
    <x v="0"/>
    <n v="288500"/>
    <x v="2"/>
  </r>
  <r>
    <n v="172"/>
    <x v="10"/>
    <s v="JNV-031"/>
    <x v="3"/>
    <d v="2011-02-19T00:00:00"/>
    <x v="0"/>
    <n v="378200"/>
    <x v="3"/>
  </r>
  <r>
    <n v="173"/>
    <x v="11"/>
    <s v="WEZ-675"/>
    <x v="2"/>
    <d v="2011-02-16T00:00:00"/>
    <x v="1"/>
    <n v="257500"/>
    <x v="3"/>
  </r>
  <r>
    <n v="174"/>
    <x v="0"/>
    <s v="ECO-657"/>
    <x v="0"/>
    <d v="2011-02-24T00:00:00"/>
    <x v="0"/>
    <n v="387400"/>
    <x v="2"/>
  </r>
  <r>
    <n v="175"/>
    <x v="17"/>
    <s v="IGX-960"/>
    <x v="1"/>
    <d v="2011-03-06T00:00:00"/>
    <x v="0"/>
    <n v="432900"/>
    <x v="2"/>
  </r>
  <r>
    <n v="176"/>
    <x v="7"/>
    <s v="MMJ-186"/>
    <x v="0"/>
    <d v="2011-03-07T00:00:00"/>
    <x v="1"/>
    <n v="288500"/>
    <x v="3"/>
  </r>
  <r>
    <n v="177"/>
    <x v="3"/>
    <s v="BHQ-473"/>
    <x v="2"/>
    <d v="2011-03-08T00:00:00"/>
    <x v="1"/>
    <n v="391600"/>
    <x v="2"/>
  </r>
  <r>
    <n v="178"/>
    <x v="12"/>
    <s v="WLK-100"/>
    <x v="0"/>
    <d v="2011-03-17T00:00:00"/>
    <x v="1"/>
    <n v="618400"/>
    <x v="1"/>
  </r>
  <r>
    <n v="179"/>
    <x v="17"/>
    <s v="THS-050"/>
    <x v="4"/>
    <d v="2011-03-15T00:00:00"/>
    <x v="0"/>
    <n v="281100"/>
    <x v="0"/>
  </r>
  <r>
    <n v="180"/>
    <x v="10"/>
    <s v="JNV-031"/>
    <x v="3"/>
    <d v="2011-03-30T00:00:00"/>
    <x v="0"/>
    <n v="249600"/>
    <x v="3"/>
  </r>
  <r>
    <n v="181"/>
    <x v="5"/>
    <s v="GGJ-297"/>
    <x v="1"/>
    <d v="2011-04-05T00:00:00"/>
    <x v="1"/>
    <n v="288500"/>
    <x v="0"/>
  </r>
  <r>
    <n v="182"/>
    <x v="2"/>
    <s v="MPI-909"/>
    <x v="1"/>
    <d v="2011-03-31T00:00:00"/>
    <x v="0"/>
    <n v="288900"/>
    <x v="0"/>
  </r>
  <r>
    <n v="183"/>
    <x v="0"/>
    <s v="BEH-120"/>
    <x v="3"/>
    <d v="2011-04-11T00:00:00"/>
    <x v="1"/>
    <n v="237200"/>
    <x v="0"/>
  </r>
  <r>
    <n v="184"/>
    <x v="8"/>
    <s v="JSF-047"/>
    <x v="3"/>
    <d v="2011-04-10T00:00:00"/>
    <x v="1"/>
    <n v="278200"/>
    <x v="1"/>
  </r>
  <r>
    <n v="185"/>
    <x v="10"/>
    <s v="LIG-440"/>
    <x v="1"/>
    <d v="2011-04-02T00:00:00"/>
    <x v="1"/>
    <n v="277200"/>
    <x v="3"/>
  </r>
  <r>
    <n v="186"/>
    <x v="2"/>
    <s v="QAV-783"/>
    <x v="4"/>
    <d v="2011-04-08T00:00:00"/>
    <x v="1"/>
    <n v="373200"/>
    <x v="1"/>
  </r>
  <r>
    <n v="187"/>
    <x v="6"/>
    <s v="AKD-565"/>
    <x v="0"/>
    <d v="2011-04-07T00:00:00"/>
    <x v="1"/>
    <n v="441300"/>
    <x v="0"/>
  </r>
  <r>
    <n v="188"/>
    <x v="2"/>
    <s v="TRZ-647"/>
    <x v="4"/>
    <d v="2011-04-11T00:00:00"/>
    <x v="1"/>
    <n v="376500"/>
    <x v="3"/>
  </r>
  <r>
    <n v="189"/>
    <x v="17"/>
    <s v="THS-050"/>
    <x v="4"/>
    <d v="2011-04-10T00:00:00"/>
    <x v="1"/>
    <n v="424500"/>
    <x v="0"/>
  </r>
  <r>
    <n v="190"/>
    <x v="7"/>
    <s v="LAD-215"/>
    <x v="0"/>
    <d v="2011-04-19T00:00:00"/>
    <x v="0"/>
    <n v="243600"/>
    <x v="1"/>
  </r>
  <r>
    <n v="191"/>
    <x v="6"/>
    <s v="QLT-781"/>
    <x v="0"/>
    <d v="2011-04-22T00:00:00"/>
    <x v="1"/>
    <n v="305100"/>
    <x v="0"/>
  </r>
  <r>
    <n v="192"/>
    <x v="15"/>
    <s v="ZPQ-733"/>
    <x v="3"/>
    <d v="2011-04-26T00:00:00"/>
    <x v="0"/>
    <n v="304700"/>
    <x v="0"/>
  </r>
  <r>
    <n v="193"/>
    <x v="5"/>
    <s v="GGJ-297"/>
    <x v="1"/>
    <d v="2011-05-10T00:00:00"/>
    <x v="1"/>
    <n v="255800"/>
    <x v="0"/>
  </r>
  <r>
    <n v="194"/>
    <x v="0"/>
    <s v="APD-659"/>
    <x v="3"/>
    <d v="2011-05-16T00:00:00"/>
    <x v="1"/>
    <n v="293800"/>
    <x v="2"/>
  </r>
  <r>
    <n v="195"/>
    <x v="13"/>
    <s v="JMS-051"/>
    <x v="2"/>
    <d v="2011-05-07T00:00:00"/>
    <x v="1"/>
    <n v="923900"/>
    <x v="0"/>
  </r>
  <r>
    <n v="196"/>
    <x v="2"/>
    <s v="MPI-909"/>
    <x v="1"/>
    <d v="2011-05-18T00:00:00"/>
    <x v="1"/>
    <n v="252700"/>
    <x v="0"/>
  </r>
  <r>
    <n v="197"/>
    <x v="7"/>
    <s v="MDL-513"/>
    <x v="4"/>
    <d v="2011-05-20T00:00:00"/>
    <x v="0"/>
    <n v="263500"/>
    <x v="2"/>
  </r>
  <r>
    <n v="198"/>
    <x v="14"/>
    <s v="IGI-371"/>
    <x v="2"/>
    <d v="2011-05-19T00:00:00"/>
    <x v="1"/>
    <n v="959300"/>
    <x v="3"/>
  </r>
  <r>
    <n v="199"/>
    <x v="5"/>
    <s v="GGJ-297"/>
    <x v="1"/>
    <d v="2011-05-29T00:00:00"/>
    <x v="0"/>
    <n v="249100"/>
    <x v="0"/>
  </r>
  <r>
    <n v="200"/>
    <x v="13"/>
    <s v="JMS-051"/>
    <x v="2"/>
    <d v="2011-05-28T00:00:00"/>
    <x v="0"/>
    <n v="271900"/>
    <x v="0"/>
  </r>
  <r>
    <n v="201"/>
    <x v="10"/>
    <s v="JNV-031"/>
    <x v="3"/>
    <d v="2011-05-28T00:00:00"/>
    <x v="0"/>
    <n v="371100"/>
    <x v="3"/>
  </r>
  <r>
    <n v="202"/>
    <x v="4"/>
    <s v="HPA-704"/>
    <x v="3"/>
    <d v="2011-06-01T00:00:00"/>
    <x v="1"/>
    <n v="246800"/>
    <x v="0"/>
  </r>
  <r>
    <n v="203"/>
    <x v="6"/>
    <s v="FNJ-604"/>
    <x v="1"/>
    <d v="2011-06-03T00:00:00"/>
    <x v="1"/>
    <n v="255300"/>
    <x v="3"/>
  </r>
  <r>
    <n v="204"/>
    <x v="4"/>
    <s v="HPA-704"/>
    <x v="3"/>
    <d v="2011-05-30T00:00:00"/>
    <x v="1"/>
    <n v="275500"/>
    <x v="0"/>
  </r>
  <r>
    <n v="205"/>
    <x v="9"/>
    <s v="HOX-539"/>
    <x v="4"/>
    <d v="2011-06-05T00:00:00"/>
    <x v="1"/>
    <n v="252000"/>
    <x v="1"/>
  </r>
  <r>
    <n v="206"/>
    <x v="7"/>
    <s v="MMJ-186"/>
    <x v="0"/>
    <d v="2011-06-10T00:00:00"/>
    <x v="1"/>
    <n v="283600"/>
    <x v="3"/>
  </r>
  <r>
    <n v="207"/>
    <x v="9"/>
    <s v="EKR-064"/>
    <x v="4"/>
    <d v="2011-06-18T00:00:00"/>
    <x v="0"/>
    <n v="287300"/>
    <x v="1"/>
  </r>
  <r>
    <n v="208"/>
    <x v="6"/>
    <s v="FNJ-604"/>
    <x v="1"/>
    <d v="2011-06-10T00:00:00"/>
    <x v="0"/>
    <n v="721100"/>
    <x v="3"/>
  </r>
  <r>
    <n v="209"/>
    <x v="17"/>
    <s v="IGX-960"/>
    <x v="1"/>
    <d v="2011-06-19T00:00:00"/>
    <x v="0"/>
    <n v="338500"/>
    <x v="2"/>
  </r>
  <r>
    <n v="210"/>
    <x v="15"/>
    <s v="BND-497"/>
    <x v="4"/>
    <d v="2011-06-13T00:00:00"/>
    <x v="1"/>
    <n v="252700"/>
    <x v="2"/>
  </r>
  <r>
    <n v="211"/>
    <x v="5"/>
    <s v="RHL-469"/>
    <x v="0"/>
    <d v="2011-06-20T00:00:00"/>
    <x v="0"/>
    <n v="277700"/>
    <x v="2"/>
  </r>
  <r>
    <n v="212"/>
    <x v="10"/>
    <s v="ZTS-446"/>
    <x v="1"/>
    <d v="2011-06-14T00:00:00"/>
    <x v="1"/>
    <n v="249200"/>
    <x v="3"/>
  </r>
  <r>
    <n v="213"/>
    <x v="10"/>
    <s v="JNV-031"/>
    <x v="3"/>
    <d v="2011-06-18T00:00:00"/>
    <x v="1"/>
    <n v="258100"/>
    <x v="3"/>
  </r>
  <r>
    <n v="214"/>
    <x v="0"/>
    <s v="BEH-120"/>
    <x v="3"/>
    <d v="2011-06-16T00:00:00"/>
    <x v="1"/>
    <n v="265500"/>
    <x v="0"/>
  </r>
  <r>
    <n v="215"/>
    <x v="12"/>
    <s v="KSE-971"/>
    <x v="0"/>
    <d v="2011-06-27T00:00:00"/>
    <x v="1"/>
    <n v="681700"/>
    <x v="1"/>
  </r>
  <r>
    <n v="216"/>
    <x v="15"/>
    <s v="BND-497"/>
    <x v="4"/>
    <d v="2011-06-25T00:00:00"/>
    <x v="1"/>
    <n v="329200"/>
    <x v="2"/>
  </r>
  <r>
    <n v="217"/>
    <x v="17"/>
    <s v="IGX-960"/>
    <x v="1"/>
    <d v="2011-06-25T00:00:00"/>
    <x v="0"/>
    <n v="246000"/>
    <x v="2"/>
  </r>
  <r>
    <n v="218"/>
    <x v="4"/>
    <s v="PLS-408"/>
    <x v="1"/>
    <d v="2011-07-02T00:00:00"/>
    <x v="1"/>
    <n v="263300"/>
    <x v="0"/>
  </r>
  <r>
    <n v="219"/>
    <x v="12"/>
    <s v="IXP-392"/>
    <x v="0"/>
    <d v="2011-07-07T00:00:00"/>
    <x v="1"/>
    <n v="902100"/>
    <x v="1"/>
  </r>
  <r>
    <n v="220"/>
    <x v="0"/>
    <s v="ECO-657"/>
    <x v="0"/>
    <d v="2011-07-01T00:00:00"/>
    <x v="0"/>
    <n v="294900"/>
    <x v="2"/>
  </r>
  <r>
    <n v="221"/>
    <x v="9"/>
    <s v="BSB-354"/>
    <x v="4"/>
    <d v="2011-07-02T00:00:00"/>
    <x v="0"/>
    <n v="330500"/>
    <x v="2"/>
  </r>
  <r>
    <n v="222"/>
    <x v="2"/>
    <s v="QAV-783"/>
    <x v="4"/>
    <d v="2011-07-03T00:00:00"/>
    <x v="1"/>
    <n v="338800"/>
    <x v="1"/>
  </r>
  <r>
    <n v="223"/>
    <x v="1"/>
    <s v="SMU-668"/>
    <x v="0"/>
    <d v="2011-07-13T00:00:00"/>
    <x v="1"/>
    <n v="433500"/>
    <x v="2"/>
  </r>
  <r>
    <n v="224"/>
    <x v="12"/>
    <s v="RYN-380"/>
    <x v="1"/>
    <d v="2011-07-17T00:00:00"/>
    <x v="0"/>
    <n v="491900"/>
    <x v="0"/>
  </r>
  <r>
    <n v="225"/>
    <x v="10"/>
    <s v="ZTS-446"/>
    <x v="1"/>
    <d v="2011-07-24T00:00:00"/>
    <x v="1"/>
    <n v="296000"/>
    <x v="3"/>
  </r>
  <r>
    <n v="226"/>
    <x v="16"/>
    <s v="SUX-856"/>
    <x v="4"/>
    <d v="2011-07-22T00:00:00"/>
    <x v="1"/>
    <n v="285900"/>
    <x v="3"/>
  </r>
  <r>
    <n v="227"/>
    <x v="0"/>
    <s v="BEH-120"/>
    <x v="3"/>
    <d v="2011-07-30T00:00:00"/>
    <x v="1"/>
    <n v="412600"/>
    <x v="0"/>
  </r>
  <r>
    <n v="228"/>
    <x v="17"/>
    <s v="IGX-960"/>
    <x v="1"/>
    <d v="2011-08-08T00:00:00"/>
    <x v="0"/>
    <n v="271100"/>
    <x v="2"/>
  </r>
  <r>
    <n v="229"/>
    <x v="8"/>
    <s v="JSF-047"/>
    <x v="3"/>
    <d v="2011-08-12T00:00:00"/>
    <x v="1"/>
    <n v="253800"/>
    <x v="1"/>
  </r>
  <r>
    <n v="230"/>
    <x v="1"/>
    <s v="SMU-668"/>
    <x v="0"/>
    <d v="2011-08-07T00:00:00"/>
    <x v="1"/>
    <n v="253800"/>
    <x v="2"/>
  </r>
  <r>
    <n v="231"/>
    <x v="14"/>
    <s v="TXD-461"/>
    <x v="2"/>
    <d v="2011-08-08T00:00:00"/>
    <x v="0"/>
    <n v="904400"/>
    <x v="3"/>
  </r>
  <r>
    <n v="232"/>
    <x v="10"/>
    <s v="LIG-440"/>
    <x v="1"/>
    <d v="2011-08-13T00:00:00"/>
    <x v="0"/>
    <n v="469600"/>
    <x v="3"/>
  </r>
  <r>
    <n v="233"/>
    <x v="4"/>
    <s v="IBY-325"/>
    <x v="0"/>
    <d v="2011-08-20T00:00:00"/>
    <x v="1"/>
    <n v="309600"/>
    <x v="0"/>
  </r>
  <r>
    <n v="234"/>
    <x v="1"/>
    <s v="UCU-590"/>
    <x v="1"/>
    <d v="2011-08-16T00:00:00"/>
    <x v="1"/>
    <n v="332700"/>
    <x v="1"/>
  </r>
  <r>
    <n v="235"/>
    <x v="8"/>
    <s v="NCG-044"/>
    <x v="0"/>
    <d v="2011-08-21T00:00:00"/>
    <x v="1"/>
    <n v="288700"/>
    <x v="1"/>
  </r>
  <r>
    <n v="236"/>
    <x v="2"/>
    <s v="IRF-014"/>
    <x v="0"/>
    <d v="2011-08-31T00:00:00"/>
    <x v="1"/>
    <n v="868000"/>
    <x v="1"/>
  </r>
  <r>
    <n v="237"/>
    <x v="0"/>
    <s v="ECO-657"/>
    <x v="0"/>
    <d v="2011-09-03T00:00:00"/>
    <x v="1"/>
    <n v="274400"/>
    <x v="2"/>
  </r>
  <r>
    <n v="238"/>
    <x v="10"/>
    <s v="URR-404"/>
    <x v="1"/>
    <d v="2011-08-27T00:00:00"/>
    <x v="1"/>
    <n v="611000"/>
    <x v="1"/>
  </r>
  <r>
    <n v="239"/>
    <x v="7"/>
    <s v="MMJ-186"/>
    <x v="0"/>
    <d v="2011-08-29T00:00:00"/>
    <x v="1"/>
    <n v="290500"/>
    <x v="3"/>
  </r>
  <r>
    <n v="240"/>
    <x v="0"/>
    <s v="ECO-657"/>
    <x v="0"/>
    <d v="2011-08-28T00:00:00"/>
    <x v="1"/>
    <n v="304700"/>
    <x v="2"/>
  </r>
  <r>
    <n v="241"/>
    <x v="6"/>
    <s v="KEB-400"/>
    <x v="0"/>
    <d v="2011-09-05T00:00:00"/>
    <x v="1"/>
    <n v="326400"/>
    <x v="2"/>
  </r>
  <r>
    <n v="242"/>
    <x v="16"/>
    <s v="SUX-856"/>
    <x v="4"/>
    <d v="2011-09-14T00:00:00"/>
    <x v="1"/>
    <n v="261800"/>
    <x v="3"/>
  </r>
  <r>
    <n v="243"/>
    <x v="2"/>
    <s v="QAV-783"/>
    <x v="4"/>
    <d v="2011-09-09T00:00:00"/>
    <x v="1"/>
    <n v="281600"/>
    <x v="1"/>
  </r>
  <r>
    <n v="244"/>
    <x v="3"/>
    <s v="BHQ-473"/>
    <x v="2"/>
    <d v="2011-09-12T00:00:00"/>
    <x v="1"/>
    <n v="298700"/>
    <x v="2"/>
  </r>
  <r>
    <n v="245"/>
    <x v="17"/>
    <s v="IGX-960"/>
    <x v="1"/>
    <d v="2011-09-16T00:00:00"/>
    <x v="1"/>
    <n v="282200"/>
    <x v="2"/>
  </r>
  <r>
    <n v="246"/>
    <x v="10"/>
    <s v="LIG-440"/>
    <x v="1"/>
    <d v="2011-09-16T00:00:00"/>
    <x v="1"/>
    <n v="237300"/>
    <x v="3"/>
  </r>
  <r>
    <n v="247"/>
    <x v="6"/>
    <s v="AKD-565"/>
    <x v="0"/>
    <d v="2011-09-17T00:00:00"/>
    <x v="1"/>
    <n v="275600"/>
    <x v="0"/>
  </r>
  <r>
    <n v="248"/>
    <x v="12"/>
    <s v="IXP-392"/>
    <x v="0"/>
    <d v="2011-09-21T00:00:00"/>
    <x v="1"/>
    <n v="251900"/>
    <x v="1"/>
  </r>
  <r>
    <n v="249"/>
    <x v="0"/>
    <s v="ECO-657"/>
    <x v="0"/>
    <d v="2011-09-21T00:00:00"/>
    <x v="1"/>
    <n v="256300"/>
    <x v="2"/>
  </r>
  <r>
    <n v="250"/>
    <x v="9"/>
    <s v="BSB-354"/>
    <x v="4"/>
    <d v="2011-09-23T00:00:00"/>
    <x v="1"/>
    <n v="260100"/>
    <x v="2"/>
  </r>
  <r>
    <n v="251"/>
    <x v="13"/>
    <s v="JMS-051"/>
    <x v="2"/>
    <d v="2011-10-08T00:00:00"/>
    <x v="0"/>
    <n v="360400"/>
    <x v="0"/>
  </r>
  <r>
    <n v="252"/>
    <x v="10"/>
    <s v="HSH-621"/>
    <x v="0"/>
    <d v="2011-10-12T00:00:00"/>
    <x v="0"/>
    <n v="242100"/>
    <x v="2"/>
  </r>
  <r>
    <n v="253"/>
    <x v="6"/>
    <s v="AKD-565"/>
    <x v="0"/>
    <d v="2011-10-12T00:00:00"/>
    <x v="1"/>
    <n v="292600"/>
    <x v="0"/>
  </r>
  <r>
    <n v="254"/>
    <x v="2"/>
    <s v="QAV-783"/>
    <x v="4"/>
    <d v="2011-10-13T00:00:00"/>
    <x v="0"/>
    <n v="840700"/>
    <x v="1"/>
  </r>
  <r>
    <n v="255"/>
    <x v="13"/>
    <s v="JMS-051"/>
    <x v="2"/>
    <d v="2011-10-19T00:00:00"/>
    <x v="0"/>
    <n v="275800"/>
    <x v="0"/>
  </r>
  <r>
    <n v="256"/>
    <x v="12"/>
    <s v="IXP-392"/>
    <x v="0"/>
    <d v="2011-10-17T00:00:00"/>
    <x v="1"/>
    <n v="1061100"/>
    <x v="1"/>
  </r>
  <r>
    <n v="257"/>
    <x v="8"/>
    <s v="TVI-058"/>
    <x v="3"/>
    <d v="2011-11-01T00:00:00"/>
    <x v="0"/>
    <n v="415700"/>
    <x v="2"/>
  </r>
  <r>
    <n v="258"/>
    <x v="7"/>
    <s v="LAD-215"/>
    <x v="0"/>
    <d v="2011-10-29T00:00:00"/>
    <x v="1"/>
    <n v="264000"/>
    <x v="1"/>
  </r>
  <r>
    <n v="259"/>
    <x v="16"/>
    <s v="LFL-867"/>
    <x v="1"/>
    <d v="2011-10-27T00:00:00"/>
    <x v="0"/>
    <n v="294200"/>
    <x v="0"/>
  </r>
  <r>
    <n v="260"/>
    <x v="8"/>
    <s v="YUF-368"/>
    <x v="0"/>
    <d v="2011-11-02T00:00:00"/>
    <x v="0"/>
    <n v="278900"/>
    <x v="1"/>
  </r>
  <r>
    <n v="261"/>
    <x v="10"/>
    <s v="ZTS-446"/>
    <x v="1"/>
    <d v="2011-11-06T00:00:00"/>
    <x v="0"/>
    <n v="808100"/>
    <x v="3"/>
  </r>
  <r>
    <n v="262"/>
    <x v="7"/>
    <s v="BSY-851"/>
    <x v="0"/>
    <d v="2011-11-13T00:00:00"/>
    <x v="1"/>
    <n v="894100"/>
    <x v="3"/>
  </r>
  <r>
    <n v="263"/>
    <x v="16"/>
    <s v="NAX-299"/>
    <x v="4"/>
    <d v="2011-12-01T00:00:00"/>
    <x v="1"/>
    <n v="944500"/>
    <x v="1"/>
  </r>
  <r>
    <n v="264"/>
    <x v="10"/>
    <s v="HSH-621"/>
    <x v="0"/>
    <d v="2011-12-04T00:00:00"/>
    <x v="1"/>
    <n v="273400"/>
    <x v="2"/>
  </r>
  <r>
    <n v="265"/>
    <x v="16"/>
    <s v="NAX-299"/>
    <x v="4"/>
    <d v="2011-12-05T00:00:00"/>
    <x v="0"/>
    <n v="365800"/>
    <x v="1"/>
  </r>
  <r>
    <n v="266"/>
    <x v="0"/>
    <s v="UYV-076"/>
    <x v="0"/>
    <d v="2011-12-10T00:00:00"/>
    <x v="1"/>
    <n v="263400"/>
    <x v="0"/>
  </r>
  <r>
    <n v="267"/>
    <x v="0"/>
    <s v="ECO-657"/>
    <x v="0"/>
    <d v="2011-12-08T00:00:00"/>
    <x v="0"/>
    <n v="312600"/>
    <x v="2"/>
  </r>
  <r>
    <n v="268"/>
    <x v="5"/>
    <s v="GQQ-394"/>
    <x v="0"/>
    <d v="2011-12-19T00:00:00"/>
    <x v="1"/>
    <n v="261500"/>
    <x v="3"/>
  </r>
  <r>
    <n v="269"/>
    <x v="1"/>
    <s v="UCU-590"/>
    <x v="1"/>
    <d v="2011-12-19T00:00:00"/>
    <x v="1"/>
    <n v="250300"/>
    <x v="1"/>
  </r>
  <r>
    <n v="270"/>
    <x v="4"/>
    <s v="HPA-704"/>
    <x v="3"/>
    <d v="2011-12-29T00:00:00"/>
    <x v="1"/>
    <n v="809300"/>
    <x v="0"/>
  </r>
  <r>
    <n v="271"/>
    <x v="0"/>
    <s v="APD-659"/>
    <x v="3"/>
    <d v="2011-12-31T00:00:00"/>
    <x v="1"/>
    <n v="927700"/>
    <x v="2"/>
  </r>
  <r>
    <n v="272"/>
    <x v="6"/>
    <s v="TGU-488"/>
    <x v="4"/>
    <d v="2011-12-28T00:00:00"/>
    <x v="1"/>
    <n v="1029100"/>
    <x v="3"/>
  </r>
  <r>
    <n v="273"/>
    <x v="0"/>
    <s v="FSV-125"/>
    <x v="0"/>
    <d v="2011-12-25T00:00:00"/>
    <x v="1"/>
    <n v="280200"/>
    <x v="3"/>
  </r>
  <r>
    <n v="274"/>
    <x v="6"/>
    <s v="AKD-565"/>
    <x v="0"/>
    <d v="2011-12-29T00:00:00"/>
    <x v="1"/>
    <n v="241500"/>
    <x v="0"/>
  </r>
  <r>
    <n v="275"/>
    <x v="12"/>
    <s v="RYN-380"/>
    <x v="1"/>
    <d v="2012-01-01T00:00:00"/>
    <x v="0"/>
    <n v="269800"/>
    <x v="0"/>
  </r>
  <r>
    <n v="276"/>
    <x v="4"/>
    <s v="XIE-101"/>
    <x v="1"/>
    <d v="2011-12-29T00:00:00"/>
    <x v="0"/>
    <n v="274200"/>
    <x v="2"/>
  </r>
  <r>
    <n v="277"/>
    <x v="9"/>
    <s v="BSB-354"/>
    <x v="4"/>
    <d v="2012-01-05T00:00:00"/>
    <x v="0"/>
    <n v="306000"/>
    <x v="2"/>
  </r>
  <r>
    <n v="278"/>
    <x v="8"/>
    <s v="TVI-058"/>
    <x v="3"/>
    <d v="2012-01-05T00:00:00"/>
    <x v="1"/>
    <n v="288300"/>
    <x v="2"/>
  </r>
  <r>
    <n v="279"/>
    <x v="7"/>
    <s v="BSY-851"/>
    <x v="0"/>
    <d v="2012-01-09T00:00:00"/>
    <x v="1"/>
    <n v="257500"/>
    <x v="3"/>
  </r>
  <r>
    <n v="280"/>
    <x v="5"/>
    <s v="GGJ-297"/>
    <x v="1"/>
    <d v="2012-01-06T00:00:00"/>
    <x v="0"/>
    <n v="256200"/>
    <x v="0"/>
  </r>
  <r>
    <n v="281"/>
    <x v="2"/>
    <s v="TRZ-647"/>
    <x v="4"/>
    <d v="2012-01-11T00:00:00"/>
    <x v="1"/>
    <n v="460700"/>
    <x v="3"/>
  </r>
  <r>
    <n v="282"/>
    <x v="12"/>
    <s v="KSE-971"/>
    <x v="0"/>
    <d v="2012-01-09T00:00:00"/>
    <x v="1"/>
    <n v="497400"/>
    <x v="1"/>
  </r>
  <r>
    <n v="283"/>
    <x v="0"/>
    <s v="BUY-359"/>
    <x v="0"/>
    <d v="2012-01-17T00:00:00"/>
    <x v="0"/>
    <n v="276700"/>
    <x v="3"/>
  </r>
  <r>
    <n v="284"/>
    <x v="6"/>
    <s v="KEB-400"/>
    <x v="0"/>
    <d v="2012-01-16T00:00:00"/>
    <x v="1"/>
    <n v="283500"/>
    <x v="2"/>
  </r>
  <r>
    <n v="285"/>
    <x v="1"/>
    <s v="ZRJ-593"/>
    <x v="0"/>
    <d v="2012-01-11T00:00:00"/>
    <x v="1"/>
    <n v="340200"/>
    <x v="1"/>
  </r>
  <r>
    <n v="286"/>
    <x v="10"/>
    <s v="ZTS-446"/>
    <x v="1"/>
    <d v="2012-01-12T00:00:00"/>
    <x v="0"/>
    <n v="238800"/>
    <x v="3"/>
  </r>
  <r>
    <n v="287"/>
    <x v="3"/>
    <s v="HBE-391"/>
    <x v="2"/>
    <d v="2012-01-23T00:00:00"/>
    <x v="0"/>
    <n v="268000"/>
    <x v="1"/>
  </r>
  <r>
    <n v="288"/>
    <x v="16"/>
    <s v="NAX-299"/>
    <x v="4"/>
    <d v="2012-01-25T00:00:00"/>
    <x v="1"/>
    <n v="442100"/>
    <x v="1"/>
  </r>
  <r>
    <n v="289"/>
    <x v="9"/>
    <s v="HOX-539"/>
    <x v="4"/>
    <d v="2012-02-04T00:00:00"/>
    <x v="1"/>
    <n v="362200"/>
    <x v="1"/>
  </r>
  <r>
    <n v="290"/>
    <x v="8"/>
    <s v="YUF-368"/>
    <x v="0"/>
    <d v="2012-02-04T00:00:00"/>
    <x v="1"/>
    <n v="441900"/>
    <x v="1"/>
  </r>
  <r>
    <n v="291"/>
    <x v="6"/>
    <s v="KEB-400"/>
    <x v="0"/>
    <d v="2012-02-19T00:00:00"/>
    <x v="0"/>
    <n v="277200"/>
    <x v="2"/>
  </r>
  <r>
    <n v="292"/>
    <x v="6"/>
    <s v="TGU-488"/>
    <x v="4"/>
    <d v="2012-02-14T00:00:00"/>
    <x v="1"/>
    <n v="1069500"/>
    <x v="3"/>
  </r>
  <r>
    <n v="293"/>
    <x v="11"/>
    <s v="WEZ-675"/>
    <x v="2"/>
    <d v="2012-02-26T00:00:00"/>
    <x v="1"/>
    <n v="357200"/>
    <x v="3"/>
  </r>
  <r>
    <n v="294"/>
    <x v="15"/>
    <s v="BND-497"/>
    <x v="4"/>
    <d v="2012-02-19T00:00:00"/>
    <x v="1"/>
    <n v="728600"/>
    <x v="2"/>
  </r>
  <r>
    <n v="295"/>
    <x v="0"/>
    <s v="BEH-120"/>
    <x v="3"/>
    <d v="2012-03-05T00:00:00"/>
    <x v="0"/>
    <n v="750200"/>
    <x v="0"/>
  </r>
  <r>
    <n v="296"/>
    <x v="2"/>
    <s v="OGH-586"/>
    <x v="3"/>
    <d v="2012-03-12T00:00:00"/>
    <x v="0"/>
    <n v="276100"/>
    <x v="1"/>
  </r>
  <r>
    <n v="297"/>
    <x v="10"/>
    <s v="URR-404"/>
    <x v="1"/>
    <d v="2012-03-08T00:00:00"/>
    <x v="1"/>
    <n v="249600"/>
    <x v="1"/>
  </r>
  <r>
    <n v="298"/>
    <x v="1"/>
    <s v="SMU-668"/>
    <x v="0"/>
    <d v="2012-03-25T00:00:00"/>
    <x v="1"/>
    <n v="252200"/>
    <x v="2"/>
  </r>
  <r>
    <n v="299"/>
    <x v="13"/>
    <s v="JMS-051"/>
    <x v="2"/>
    <d v="2012-03-29T00:00:00"/>
    <x v="1"/>
    <n v="299500"/>
    <x v="0"/>
  </r>
  <r>
    <n v="300"/>
    <x v="10"/>
    <s v="YSQ-468"/>
    <x v="4"/>
    <d v="2012-03-30T00:00:00"/>
    <x v="0"/>
    <n v="239400"/>
    <x v="2"/>
  </r>
  <r>
    <n v="301"/>
    <x v="6"/>
    <s v="AKD-565"/>
    <x v="0"/>
    <d v="2012-04-03T00:00:00"/>
    <x v="0"/>
    <n v="328900"/>
    <x v="0"/>
  </r>
  <r>
    <n v="302"/>
    <x v="4"/>
    <s v="IBY-325"/>
    <x v="0"/>
    <d v="2012-04-13T00:00:00"/>
    <x v="0"/>
    <n v="239100"/>
    <x v="0"/>
  </r>
  <r>
    <n v="303"/>
    <x v="0"/>
    <s v="FSV-125"/>
    <x v="0"/>
    <d v="2012-04-14T00:00:00"/>
    <x v="0"/>
    <n v="254200"/>
    <x v="3"/>
  </r>
  <r>
    <n v="304"/>
    <x v="6"/>
    <s v="QLT-781"/>
    <x v="0"/>
    <d v="2012-04-20T00:00:00"/>
    <x v="0"/>
    <n v="283500"/>
    <x v="0"/>
  </r>
  <r>
    <n v="305"/>
    <x v="6"/>
    <s v="TGU-488"/>
    <x v="4"/>
    <d v="2012-04-24T00:00:00"/>
    <x v="1"/>
    <n v="296100"/>
    <x v="3"/>
  </r>
  <r>
    <n v="306"/>
    <x v="13"/>
    <s v="JMS-051"/>
    <x v="2"/>
    <d v="2012-05-07T00:00:00"/>
    <x v="1"/>
    <n v="288400"/>
    <x v="0"/>
  </r>
  <r>
    <n v="307"/>
    <x v="1"/>
    <s v="ZRJ-593"/>
    <x v="0"/>
    <d v="2012-05-09T00:00:00"/>
    <x v="1"/>
    <n v="262800"/>
    <x v="1"/>
  </r>
  <r>
    <n v="308"/>
    <x v="8"/>
    <s v="NCG-044"/>
    <x v="0"/>
    <d v="2012-05-13T00:00:00"/>
    <x v="1"/>
    <n v="296900"/>
    <x v="1"/>
  </r>
  <r>
    <n v="309"/>
    <x v="5"/>
    <s v="HYZ-268"/>
    <x v="1"/>
    <d v="2012-05-21T00:00:00"/>
    <x v="1"/>
    <n v="254600"/>
    <x v="3"/>
  </r>
  <r>
    <n v="310"/>
    <x v="10"/>
    <s v="YSQ-468"/>
    <x v="4"/>
    <d v="2012-05-18T00:00:00"/>
    <x v="1"/>
    <n v="443200"/>
    <x v="2"/>
  </r>
  <r>
    <n v="311"/>
    <x v="7"/>
    <s v="MDL-513"/>
    <x v="4"/>
    <d v="2012-05-21T00:00:00"/>
    <x v="1"/>
    <n v="266300"/>
    <x v="2"/>
  </r>
  <r>
    <n v="312"/>
    <x v="12"/>
    <s v="ECQ-692"/>
    <x v="0"/>
    <d v="2012-05-24T00:00:00"/>
    <x v="1"/>
    <n v="331700"/>
    <x v="2"/>
  </r>
  <r>
    <n v="313"/>
    <x v="7"/>
    <s v="BSY-851"/>
    <x v="0"/>
    <d v="2012-05-27T00:00:00"/>
    <x v="0"/>
    <n v="264300"/>
    <x v="3"/>
  </r>
  <r>
    <n v="314"/>
    <x v="0"/>
    <s v="BUY-359"/>
    <x v="0"/>
    <d v="2012-05-25T00:00:00"/>
    <x v="1"/>
    <n v="616500"/>
    <x v="3"/>
  </r>
  <r>
    <n v="315"/>
    <x v="5"/>
    <s v="HYZ-268"/>
    <x v="1"/>
    <d v="2012-05-30T00:00:00"/>
    <x v="1"/>
    <n v="844200"/>
    <x v="3"/>
  </r>
  <r>
    <n v="316"/>
    <x v="10"/>
    <s v="ZTS-446"/>
    <x v="1"/>
    <d v="2012-06-03T00:00:00"/>
    <x v="1"/>
    <n v="273700"/>
    <x v="3"/>
  </r>
  <r>
    <n v="317"/>
    <x v="17"/>
    <s v="IGX-960"/>
    <x v="1"/>
    <d v="2012-05-31T00:00:00"/>
    <x v="0"/>
    <n v="335900"/>
    <x v="2"/>
  </r>
  <r>
    <n v="318"/>
    <x v="11"/>
    <s v="RSX-844"/>
    <x v="2"/>
    <d v="2012-06-11T00:00:00"/>
    <x v="1"/>
    <n v="246300"/>
    <x v="2"/>
  </r>
  <r>
    <n v="319"/>
    <x v="10"/>
    <s v="URR-404"/>
    <x v="1"/>
    <d v="2012-06-07T00:00:00"/>
    <x v="1"/>
    <n v="302400"/>
    <x v="1"/>
  </r>
  <r>
    <n v="320"/>
    <x v="0"/>
    <s v="APD-659"/>
    <x v="3"/>
    <d v="2012-06-07T00:00:00"/>
    <x v="0"/>
    <n v="498700"/>
    <x v="2"/>
  </r>
  <r>
    <n v="321"/>
    <x v="13"/>
    <s v="JMS-051"/>
    <x v="2"/>
    <d v="2012-06-13T00:00:00"/>
    <x v="0"/>
    <n v="279900"/>
    <x v="0"/>
  </r>
  <r>
    <n v="322"/>
    <x v="4"/>
    <s v="AAW-520"/>
    <x v="4"/>
    <d v="2012-06-13T00:00:00"/>
    <x v="1"/>
    <n v="238200"/>
    <x v="1"/>
  </r>
  <r>
    <n v="323"/>
    <x v="6"/>
    <s v="FNJ-604"/>
    <x v="1"/>
    <d v="2012-06-17T00:00:00"/>
    <x v="1"/>
    <n v="443300"/>
    <x v="3"/>
  </r>
  <r>
    <n v="324"/>
    <x v="6"/>
    <s v="KEB-400"/>
    <x v="0"/>
    <d v="2012-06-29T00:00:00"/>
    <x v="0"/>
    <n v="372600"/>
    <x v="2"/>
  </r>
  <r>
    <n v="325"/>
    <x v="9"/>
    <s v="BSB-354"/>
    <x v="4"/>
    <d v="2012-07-01T00:00:00"/>
    <x v="0"/>
    <n v="255200"/>
    <x v="2"/>
  </r>
  <r>
    <n v="326"/>
    <x v="5"/>
    <s v="LCV-769"/>
    <x v="4"/>
    <d v="2012-07-03T00:00:00"/>
    <x v="0"/>
    <n v="610000"/>
    <x v="2"/>
  </r>
  <r>
    <n v="327"/>
    <x v="10"/>
    <s v="YSQ-468"/>
    <x v="4"/>
    <d v="2012-07-04T00:00:00"/>
    <x v="0"/>
    <n v="271000"/>
    <x v="2"/>
  </r>
  <r>
    <n v="328"/>
    <x v="1"/>
    <s v="UCU-590"/>
    <x v="1"/>
    <d v="2012-06-29T00:00:00"/>
    <x v="1"/>
    <n v="450400"/>
    <x v="1"/>
  </r>
  <r>
    <n v="329"/>
    <x v="4"/>
    <s v="IBY-325"/>
    <x v="0"/>
    <d v="2012-07-01T00:00:00"/>
    <x v="1"/>
    <n v="303100"/>
    <x v="0"/>
  </r>
  <r>
    <n v="330"/>
    <x v="4"/>
    <s v="AAW-520"/>
    <x v="4"/>
    <d v="2012-07-06T00:00:00"/>
    <x v="0"/>
    <n v="289500"/>
    <x v="1"/>
  </r>
  <r>
    <n v="331"/>
    <x v="5"/>
    <s v="LCV-769"/>
    <x v="4"/>
    <d v="2012-07-16T00:00:00"/>
    <x v="0"/>
    <n v="292400"/>
    <x v="2"/>
  </r>
  <r>
    <n v="332"/>
    <x v="5"/>
    <s v="HYZ-268"/>
    <x v="1"/>
    <d v="2012-07-13T00:00:00"/>
    <x v="1"/>
    <n v="944100"/>
    <x v="3"/>
  </r>
  <r>
    <n v="333"/>
    <x v="10"/>
    <s v="HSH-621"/>
    <x v="0"/>
    <d v="2012-07-13T00:00:00"/>
    <x v="0"/>
    <n v="277600"/>
    <x v="2"/>
  </r>
  <r>
    <n v="334"/>
    <x v="2"/>
    <s v="QAV-783"/>
    <x v="4"/>
    <d v="2012-07-16T00:00:00"/>
    <x v="0"/>
    <n v="275600"/>
    <x v="1"/>
  </r>
  <r>
    <n v="335"/>
    <x v="9"/>
    <s v="BSB-354"/>
    <x v="4"/>
    <d v="2012-07-15T00:00:00"/>
    <x v="1"/>
    <n v="281000"/>
    <x v="2"/>
  </r>
  <r>
    <n v="336"/>
    <x v="7"/>
    <s v="IMI-566"/>
    <x v="1"/>
    <d v="2012-07-21T00:00:00"/>
    <x v="1"/>
    <n v="291600"/>
    <x v="2"/>
  </r>
  <r>
    <n v="337"/>
    <x v="12"/>
    <s v="RYN-380"/>
    <x v="1"/>
    <d v="2012-07-20T00:00:00"/>
    <x v="1"/>
    <n v="905900"/>
    <x v="0"/>
  </r>
  <r>
    <n v="338"/>
    <x v="8"/>
    <s v="YUF-368"/>
    <x v="0"/>
    <d v="2012-07-18T00:00:00"/>
    <x v="1"/>
    <n v="272700"/>
    <x v="1"/>
  </r>
  <r>
    <n v="339"/>
    <x v="1"/>
    <s v="UCU-590"/>
    <x v="1"/>
    <d v="2012-07-26T00:00:00"/>
    <x v="0"/>
    <n v="255500"/>
    <x v="1"/>
  </r>
  <r>
    <n v="340"/>
    <x v="5"/>
    <s v="RHL-469"/>
    <x v="0"/>
    <d v="2012-07-24T00:00:00"/>
    <x v="0"/>
    <n v="494700"/>
    <x v="2"/>
  </r>
  <r>
    <n v="341"/>
    <x v="10"/>
    <s v="URR-404"/>
    <x v="1"/>
    <d v="2012-08-09T00:00:00"/>
    <x v="1"/>
    <n v="254000"/>
    <x v="1"/>
  </r>
  <r>
    <n v="342"/>
    <x v="0"/>
    <s v="BUY-359"/>
    <x v="0"/>
    <d v="2012-08-09T00:00:00"/>
    <x v="1"/>
    <n v="1041400"/>
    <x v="3"/>
  </r>
  <r>
    <n v="343"/>
    <x v="6"/>
    <s v="QLT-781"/>
    <x v="0"/>
    <d v="2012-08-18T00:00:00"/>
    <x v="1"/>
    <n v="262000"/>
    <x v="0"/>
  </r>
  <r>
    <n v="344"/>
    <x v="7"/>
    <s v="IMI-566"/>
    <x v="1"/>
    <d v="2012-08-17T00:00:00"/>
    <x v="1"/>
    <n v="241100"/>
    <x v="2"/>
  </r>
  <r>
    <n v="345"/>
    <x v="2"/>
    <s v="QAV-783"/>
    <x v="4"/>
    <d v="2012-08-16T00:00:00"/>
    <x v="1"/>
    <n v="258400"/>
    <x v="1"/>
  </r>
  <r>
    <n v="346"/>
    <x v="1"/>
    <s v="ZRJ-593"/>
    <x v="0"/>
    <d v="2012-08-21T00:00:00"/>
    <x v="1"/>
    <n v="243800"/>
    <x v="1"/>
  </r>
  <r>
    <n v="347"/>
    <x v="0"/>
    <s v="BUY-359"/>
    <x v="0"/>
    <d v="2012-08-30T00:00:00"/>
    <x v="0"/>
    <n v="298000"/>
    <x v="3"/>
  </r>
  <r>
    <n v="348"/>
    <x v="7"/>
    <s v="LAD-215"/>
    <x v="0"/>
    <d v="2012-09-02T00:00:00"/>
    <x v="1"/>
    <n v="300500"/>
    <x v="1"/>
  </r>
  <r>
    <n v="349"/>
    <x v="2"/>
    <s v="OGH-586"/>
    <x v="3"/>
    <d v="2012-08-28T00:00:00"/>
    <x v="1"/>
    <n v="342400"/>
    <x v="1"/>
  </r>
  <r>
    <n v="350"/>
    <x v="6"/>
    <s v="AKD-565"/>
    <x v="0"/>
    <d v="2012-09-07T00:00:00"/>
    <x v="0"/>
    <n v="245200"/>
    <x v="0"/>
  </r>
  <r>
    <n v="351"/>
    <x v="0"/>
    <s v="BEH-120"/>
    <x v="3"/>
    <d v="2012-09-15T00:00:00"/>
    <x v="1"/>
    <n v="263900"/>
    <x v="0"/>
  </r>
  <r>
    <n v="352"/>
    <x v="7"/>
    <s v="IMI-566"/>
    <x v="1"/>
    <d v="2012-09-15T00:00:00"/>
    <x v="1"/>
    <n v="284900"/>
    <x v="2"/>
  </r>
  <r>
    <n v="353"/>
    <x v="7"/>
    <s v="BSY-851"/>
    <x v="0"/>
    <d v="2012-09-10T00:00:00"/>
    <x v="1"/>
    <n v="280700"/>
    <x v="3"/>
  </r>
  <r>
    <n v="354"/>
    <x v="1"/>
    <s v="ZRJ-593"/>
    <x v="0"/>
    <d v="2012-09-22T00:00:00"/>
    <x v="1"/>
    <n v="264100"/>
    <x v="1"/>
  </r>
  <r>
    <n v="355"/>
    <x v="8"/>
    <s v="NCG-044"/>
    <x v="0"/>
    <d v="2012-09-20T00:00:00"/>
    <x v="1"/>
    <n v="263100"/>
    <x v="1"/>
  </r>
  <r>
    <n v="356"/>
    <x v="5"/>
    <s v="GGJ-297"/>
    <x v="1"/>
    <d v="2012-09-28T00:00:00"/>
    <x v="1"/>
    <n v="273700"/>
    <x v="0"/>
  </r>
  <r>
    <n v="357"/>
    <x v="15"/>
    <s v="BND-497"/>
    <x v="4"/>
    <d v="2012-10-06T00:00:00"/>
    <x v="0"/>
    <n v="313600"/>
    <x v="2"/>
  </r>
  <r>
    <n v="358"/>
    <x v="4"/>
    <s v="AAW-520"/>
    <x v="4"/>
    <d v="2012-10-13T00:00:00"/>
    <x v="1"/>
    <n v="238600"/>
    <x v="1"/>
  </r>
  <r>
    <n v="359"/>
    <x v="12"/>
    <s v="IXP-392"/>
    <x v="0"/>
    <d v="2012-10-18T00:00:00"/>
    <x v="0"/>
    <n v="831100"/>
    <x v="1"/>
  </r>
  <r>
    <n v="360"/>
    <x v="16"/>
    <s v="SUX-856"/>
    <x v="4"/>
    <d v="2012-10-21T00:00:00"/>
    <x v="1"/>
    <n v="1023700"/>
    <x v="3"/>
  </r>
  <r>
    <n v="361"/>
    <x v="6"/>
    <s v="QLT-781"/>
    <x v="0"/>
    <d v="2012-10-18T00:00:00"/>
    <x v="1"/>
    <n v="236800"/>
    <x v="0"/>
  </r>
  <r>
    <n v="362"/>
    <x v="7"/>
    <s v="MDL-513"/>
    <x v="4"/>
    <d v="2012-10-17T00:00:00"/>
    <x v="1"/>
    <n v="498500"/>
    <x v="2"/>
  </r>
  <r>
    <n v="363"/>
    <x v="6"/>
    <s v="QLT-781"/>
    <x v="0"/>
    <d v="2012-10-21T00:00:00"/>
    <x v="0"/>
    <n v="477700"/>
    <x v="0"/>
  </r>
  <r>
    <n v="364"/>
    <x v="2"/>
    <s v="AUK-108"/>
    <x v="0"/>
    <d v="2012-10-18T00:00:00"/>
    <x v="0"/>
    <n v="356400"/>
    <x v="2"/>
  </r>
  <r>
    <n v="365"/>
    <x v="1"/>
    <s v="ZRJ-593"/>
    <x v="0"/>
    <d v="2012-11-06T00:00:00"/>
    <x v="1"/>
    <n v="285300"/>
    <x v="1"/>
  </r>
  <r>
    <n v="366"/>
    <x v="2"/>
    <s v="TRZ-647"/>
    <x v="4"/>
    <d v="2012-11-10T00:00:00"/>
    <x v="1"/>
    <n v="304600"/>
    <x v="3"/>
  </r>
  <r>
    <n v="367"/>
    <x v="5"/>
    <s v="GGJ-297"/>
    <x v="1"/>
    <d v="2012-11-03T00:00:00"/>
    <x v="1"/>
    <n v="254300"/>
    <x v="0"/>
  </r>
  <r>
    <n v="368"/>
    <x v="6"/>
    <s v="FNJ-604"/>
    <x v="1"/>
    <d v="2012-11-07T00:00:00"/>
    <x v="1"/>
    <n v="377900"/>
    <x v="3"/>
  </r>
  <r>
    <n v="369"/>
    <x v="2"/>
    <s v="QAV-783"/>
    <x v="4"/>
    <d v="2012-11-07T00:00:00"/>
    <x v="0"/>
    <n v="472200"/>
    <x v="1"/>
  </r>
  <r>
    <n v="370"/>
    <x v="5"/>
    <s v="RHL-469"/>
    <x v="0"/>
    <d v="2012-11-19T00:00:00"/>
    <x v="1"/>
    <n v="292400"/>
    <x v="2"/>
  </r>
  <r>
    <n v="371"/>
    <x v="0"/>
    <s v="FSV-125"/>
    <x v="0"/>
    <d v="2012-12-03T00:00:00"/>
    <x v="1"/>
    <n v="244900"/>
    <x v="3"/>
  </r>
  <r>
    <n v="372"/>
    <x v="1"/>
    <s v="SMU-668"/>
    <x v="0"/>
    <d v="2012-12-16T00:00:00"/>
    <x v="1"/>
    <n v="280800"/>
    <x v="2"/>
  </r>
  <r>
    <n v="373"/>
    <x v="6"/>
    <s v="PIX-002"/>
    <x v="1"/>
    <d v="2012-12-15T00:00:00"/>
    <x v="1"/>
    <n v="337100"/>
    <x v="0"/>
  </r>
  <r>
    <n v="374"/>
    <x v="16"/>
    <s v="LFL-867"/>
    <x v="1"/>
    <d v="2012-12-15T00:00:00"/>
    <x v="0"/>
    <n v="779100"/>
    <x v="0"/>
  </r>
  <r>
    <n v="375"/>
    <x v="10"/>
    <s v="LIG-440"/>
    <x v="1"/>
    <d v="2012-12-26T00:00:00"/>
    <x v="1"/>
    <n v="255500"/>
    <x v="3"/>
  </r>
  <r>
    <n v="376"/>
    <x v="11"/>
    <s v="WEZ-675"/>
    <x v="2"/>
    <d v="2013-01-03T00:00:00"/>
    <x v="1"/>
    <n v="361000"/>
    <x v="3"/>
  </r>
  <r>
    <n v="377"/>
    <x v="2"/>
    <s v="AUK-108"/>
    <x v="0"/>
    <d v="2012-12-31T00:00:00"/>
    <x v="1"/>
    <n v="330700"/>
    <x v="2"/>
  </r>
  <r>
    <n v="378"/>
    <x v="7"/>
    <s v="LAD-215"/>
    <x v="0"/>
    <d v="2013-01-06T00:00:00"/>
    <x v="1"/>
    <n v="672300"/>
    <x v="1"/>
  </r>
  <r>
    <n v="379"/>
    <x v="5"/>
    <s v="RHL-469"/>
    <x v="0"/>
    <d v="2013-01-09T00:00:00"/>
    <x v="1"/>
    <n v="364700"/>
    <x v="2"/>
  </r>
  <r>
    <n v="380"/>
    <x v="1"/>
    <s v="ZRJ-593"/>
    <x v="0"/>
    <d v="2013-01-17T00:00:00"/>
    <x v="1"/>
    <n v="296300"/>
    <x v="1"/>
  </r>
  <r>
    <n v="381"/>
    <x v="5"/>
    <s v="GQQ-394"/>
    <x v="0"/>
    <d v="2013-01-16T00:00:00"/>
    <x v="1"/>
    <n v="276900"/>
    <x v="3"/>
  </r>
  <r>
    <n v="382"/>
    <x v="6"/>
    <s v="TGU-488"/>
    <x v="4"/>
    <d v="2013-01-15T00:00:00"/>
    <x v="1"/>
    <n v="494100"/>
    <x v="3"/>
  </r>
  <r>
    <n v="383"/>
    <x v="2"/>
    <s v="AUK-108"/>
    <x v="0"/>
    <d v="2013-01-14T00:00:00"/>
    <x v="1"/>
    <n v="680900"/>
    <x v="2"/>
  </r>
  <r>
    <n v="384"/>
    <x v="9"/>
    <s v="HOX-539"/>
    <x v="4"/>
    <d v="2013-01-29T00:00:00"/>
    <x v="0"/>
    <n v="264400"/>
    <x v="1"/>
  </r>
  <r>
    <n v="385"/>
    <x v="4"/>
    <s v="PLS-408"/>
    <x v="1"/>
    <d v="2013-02-05T00:00:00"/>
    <x v="0"/>
    <n v="688600"/>
    <x v="0"/>
  </r>
  <r>
    <n v="386"/>
    <x v="13"/>
    <s v="JMS-051"/>
    <x v="2"/>
    <d v="2013-02-07T00:00:00"/>
    <x v="0"/>
    <n v="898800"/>
    <x v="0"/>
  </r>
  <r>
    <n v="387"/>
    <x v="0"/>
    <s v="BEH-120"/>
    <x v="3"/>
    <d v="2013-02-14T00:00:00"/>
    <x v="1"/>
    <n v="296300"/>
    <x v="0"/>
  </r>
  <r>
    <n v="388"/>
    <x v="0"/>
    <s v="BEH-120"/>
    <x v="3"/>
    <d v="2013-02-18T00:00:00"/>
    <x v="1"/>
    <n v="246600"/>
    <x v="0"/>
  </r>
  <r>
    <n v="389"/>
    <x v="2"/>
    <s v="MPI-909"/>
    <x v="1"/>
    <d v="2013-02-23T00:00:00"/>
    <x v="1"/>
    <n v="266500"/>
    <x v="0"/>
  </r>
  <r>
    <n v="390"/>
    <x v="4"/>
    <s v="AAW-520"/>
    <x v="4"/>
    <d v="2013-03-04T00:00:00"/>
    <x v="0"/>
    <n v="289200"/>
    <x v="1"/>
  </r>
  <r>
    <n v="391"/>
    <x v="2"/>
    <s v="IRF-014"/>
    <x v="0"/>
    <d v="2013-03-03T00:00:00"/>
    <x v="0"/>
    <n v="252400"/>
    <x v="1"/>
  </r>
  <r>
    <n v="392"/>
    <x v="12"/>
    <s v="WLK-100"/>
    <x v="0"/>
    <d v="2013-03-12T00:00:00"/>
    <x v="1"/>
    <n v="284700"/>
    <x v="1"/>
  </r>
  <r>
    <n v="393"/>
    <x v="16"/>
    <s v="NAX-299"/>
    <x v="4"/>
    <d v="2013-03-12T00:00:00"/>
    <x v="1"/>
    <n v="654900"/>
    <x v="1"/>
  </r>
  <r>
    <n v="394"/>
    <x v="9"/>
    <s v="BSB-354"/>
    <x v="4"/>
    <d v="2013-03-19T00:00:00"/>
    <x v="0"/>
    <n v="244200"/>
    <x v="2"/>
  </r>
  <r>
    <n v="395"/>
    <x v="11"/>
    <s v="WEZ-675"/>
    <x v="2"/>
    <d v="2013-03-16T00:00:00"/>
    <x v="1"/>
    <n v="263500"/>
    <x v="3"/>
  </r>
  <r>
    <n v="396"/>
    <x v="10"/>
    <s v="URR-404"/>
    <x v="1"/>
    <d v="2013-03-14T00:00:00"/>
    <x v="1"/>
    <n v="390200"/>
    <x v="1"/>
  </r>
  <r>
    <n v="397"/>
    <x v="9"/>
    <s v="HOX-539"/>
    <x v="4"/>
    <d v="2013-03-19T00:00:00"/>
    <x v="1"/>
    <n v="381500"/>
    <x v="1"/>
  </r>
  <r>
    <n v="398"/>
    <x v="8"/>
    <s v="TVI-058"/>
    <x v="3"/>
    <d v="2013-03-28T00:00:00"/>
    <x v="0"/>
    <n v="446900"/>
    <x v="2"/>
  </r>
  <r>
    <n v="399"/>
    <x v="2"/>
    <s v="QAV-783"/>
    <x v="4"/>
    <d v="2013-03-24T00:00:00"/>
    <x v="0"/>
    <n v="709100"/>
    <x v="1"/>
  </r>
  <r>
    <n v="400"/>
    <x v="3"/>
    <s v="HBE-391"/>
    <x v="2"/>
    <d v="2013-03-25T00:00:00"/>
    <x v="1"/>
    <n v="276400"/>
    <x v="1"/>
  </r>
  <r>
    <n v="401"/>
    <x v="12"/>
    <s v="LBX-793"/>
    <x v="4"/>
    <d v="2013-03-28T00:00:00"/>
    <x v="0"/>
    <n v="295500"/>
    <x v="3"/>
  </r>
  <r>
    <n v="402"/>
    <x v="12"/>
    <s v="LBX-793"/>
    <x v="4"/>
    <d v="2013-03-29T00:00:00"/>
    <x v="1"/>
    <n v="648800"/>
    <x v="3"/>
  </r>
  <r>
    <n v="403"/>
    <x v="5"/>
    <s v="HYZ-268"/>
    <x v="1"/>
    <d v="2013-04-03T00:00:00"/>
    <x v="1"/>
    <n v="342100"/>
    <x v="3"/>
  </r>
  <r>
    <n v="404"/>
    <x v="5"/>
    <s v="LCV-769"/>
    <x v="4"/>
    <d v="2013-04-01T00:00:00"/>
    <x v="1"/>
    <n v="408800"/>
    <x v="2"/>
  </r>
  <r>
    <n v="405"/>
    <x v="4"/>
    <s v="HPA-704"/>
    <x v="3"/>
    <d v="2013-04-01T00:00:00"/>
    <x v="0"/>
    <n v="330000"/>
    <x v="0"/>
  </r>
  <r>
    <n v="406"/>
    <x v="12"/>
    <s v="RYN-380"/>
    <x v="1"/>
    <d v="2013-04-10T00:00:00"/>
    <x v="0"/>
    <n v="440400"/>
    <x v="0"/>
  </r>
  <r>
    <n v="407"/>
    <x v="13"/>
    <s v="JMS-051"/>
    <x v="2"/>
    <d v="2013-04-18T00:00:00"/>
    <x v="1"/>
    <n v="292300"/>
    <x v="0"/>
  </r>
  <r>
    <n v="408"/>
    <x v="5"/>
    <s v="TMH-386"/>
    <x v="1"/>
    <d v="2013-04-10T00:00:00"/>
    <x v="1"/>
    <n v="335800"/>
    <x v="1"/>
  </r>
  <r>
    <n v="409"/>
    <x v="0"/>
    <s v="BEH-120"/>
    <x v="3"/>
    <d v="2013-04-13T00:00:00"/>
    <x v="0"/>
    <n v="654000"/>
    <x v="0"/>
  </r>
  <r>
    <n v="410"/>
    <x v="16"/>
    <s v="LFL-867"/>
    <x v="1"/>
    <d v="2013-04-25T00:00:00"/>
    <x v="0"/>
    <n v="256200"/>
    <x v="0"/>
  </r>
  <r>
    <n v="411"/>
    <x v="3"/>
    <s v="HBE-391"/>
    <x v="2"/>
    <d v="2013-04-29T00:00:00"/>
    <x v="1"/>
    <n v="252300"/>
    <x v="1"/>
  </r>
  <r>
    <n v="412"/>
    <x v="13"/>
    <s v="JMS-051"/>
    <x v="2"/>
    <d v="2013-04-28T00:00:00"/>
    <x v="1"/>
    <n v="489100"/>
    <x v="0"/>
  </r>
  <r>
    <n v="413"/>
    <x v="2"/>
    <s v="TRZ-647"/>
    <x v="4"/>
    <d v="2013-05-12T00:00:00"/>
    <x v="1"/>
    <n v="272900"/>
    <x v="3"/>
  </r>
  <r>
    <n v="414"/>
    <x v="8"/>
    <s v="NCG-044"/>
    <x v="0"/>
    <d v="2013-05-10T00:00:00"/>
    <x v="1"/>
    <n v="279000"/>
    <x v="1"/>
  </r>
  <r>
    <n v="415"/>
    <x v="2"/>
    <s v="TRZ-647"/>
    <x v="4"/>
    <d v="2013-05-20T00:00:00"/>
    <x v="1"/>
    <n v="764100"/>
    <x v="3"/>
  </r>
  <r>
    <n v="416"/>
    <x v="0"/>
    <s v="UYV-076"/>
    <x v="0"/>
    <d v="2013-05-23T00:00:00"/>
    <x v="1"/>
    <n v="275600"/>
    <x v="0"/>
  </r>
  <r>
    <n v="417"/>
    <x v="0"/>
    <s v="BUY-359"/>
    <x v="0"/>
    <d v="2013-05-22T00:00:00"/>
    <x v="1"/>
    <n v="287300"/>
    <x v="3"/>
  </r>
  <r>
    <n v="418"/>
    <x v="9"/>
    <s v="EKR-064"/>
    <x v="4"/>
    <d v="2013-05-25T00:00:00"/>
    <x v="1"/>
    <n v="295700"/>
    <x v="1"/>
  </r>
  <r>
    <n v="419"/>
    <x v="15"/>
    <s v="BND-497"/>
    <x v="4"/>
    <d v="2013-06-02T00:00:00"/>
    <x v="1"/>
    <n v="288000"/>
    <x v="2"/>
  </r>
  <r>
    <n v="420"/>
    <x v="6"/>
    <s v="AKD-565"/>
    <x v="0"/>
    <d v="2013-06-08T00:00:00"/>
    <x v="1"/>
    <n v="685100"/>
    <x v="0"/>
  </r>
  <r>
    <n v="421"/>
    <x v="8"/>
    <s v="YUF-368"/>
    <x v="0"/>
    <d v="2013-06-15T00:00:00"/>
    <x v="1"/>
    <n v="294800"/>
    <x v="1"/>
  </r>
  <r>
    <n v="422"/>
    <x v="2"/>
    <s v="MPI-909"/>
    <x v="1"/>
    <d v="2013-06-08T00:00:00"/>
    <x v="1"/>
    <n v="894500"/>
    <x v="0"/>
  </r>
  <r>
    <n v="423"/>
    <x v="2"/>
    <s v="QAV-783"/>
    <x v="4"/>
    <d v="2013-06-24T00:00:00"/>
    <x v="1"/>
    <n v="244700"/>
    <x v="1"/>
  </r>
  <r>
    <n v="424"/>
    <x v="7"/>
    <s v="MDL-513"/>
    <x v="4"/>
    <d v="2013-06-29T00:00:00"/>
    <x v="1"/>
    <n v="684400"/>
    <x v="2"/>
  </r>
  <r>
    <n v="425"/>
    <x v="12"/>
    <s v="KSE-971"/>
    <x v="0"/>
    <d v="2013-06-20T00:00:00"/>
    <x v="1"/>
    <n v="607200"/>
    <x v="1"/>
  </r>
  <r>
    <n v="426"/>
    <x v="17"/>
    <s v="THS-050"/>
    <x v="4"/>
    <d v="2013-06-30T00:00:00"/>
    <x v="1"/>
    <n v="298300"/>
    <x v="0"/>
  </r>
  <r>
    <n v="427"/>
    <x v="12"/>
    <s v="KSE-971"/>
    <x v="0"/>
    <d v="2013-07-02T00:00:00"/>
    <x v="1"/>
    <n v="248800"/>
    <x v="1"/>
  </r>
  <r>
    <n v="428"/>
    <x v="1"/>
    <s v="ZRJ-593"/>
    <x v="0"/>
    <d v="2013-07-07T00:00:00"/>
    <x v="1"/>
    <n v="271400"/>
    <x v="1"/>
  </r>
  <r>
    <n v="429"/>
    <x v="5"/>
    <s v="RHL-469"/>
    <x v="0"/>
    <d v="2013-07-12T00:00:00"/>
    <x v="1"/>
    <n v="280600"/>
    <x v="2"/>
  </r>
  <r>
    <n v="430"/>
    <x v="10"/>
    <s v="LIG-440"/>
    <x v="1"/>
    <d v="2013-07-06T00:00:00"/>
    <x v="1"/>
    <n v="255600"/>
    <x v="3"/>
  </r>
  <r>
    <n v="431"/>
    <x v="16"/>
    <s v="NAX-299"/>
    <x v="4"/>
    <d v="2013-07-13T00:00:00"/>
    <x v="1"/>
    <n v="292200"/>
    <x v="1"/>
  </r>
  <r>
    <n v="432"/>
    <x v="5"/>
    <s v="RHL-469"/>
    <x v="0"/>
    <d v="2013-07-13T00:00:00"/>
    <x v="1"/>
    <n v="252200"/>
    <x v="2"/>
  </r>
  <r>
    <n v="433"/>
    <x v="6"/>
    <s v="AKD-565"/>
    <x v="0"/>
    <d v="2013-07-22T00:00:00"/>
    <x v="1"/>
    <n v="258400"/>
    <x v="0"/>
  </r>
  <r>
    <n v="434"/>
    <x v="9"/>
    <s v="EKR-064"/>
    <x v="4"/>
    <d v="2013-07-17T00:00:00"/>
    <x v="1"/>
    <n v="237300"/>
    <x v="1"/>
  </r>
  <r>
    <n v="435"/>
    <x v="5"/>
    <s v="LCV-769"/>
    <x v="4"/>
    <d v="2013-07-28T00:00:00"/>
    <x v="1"/>
    <n v="266300"/>
    <x v="2"/>
  </r>
  <r>
    <n v="436"/>
    <x v="16"/>
    <s v="NAX-299"/>
    <x v="4"/>
    <d v="2013-08-05T00:00:00"/>
    <x v="0"/>
    <n v="272700"/>
    <x v="1"/>
  </r>
  <r>
    <n v="437"/>
    <x v="15"/>
    <s v="ZPQ-733"/>
    <x v="3"/>
    <d v="2013-07-29T00:00:00"/>
    <x v="1"/>
    <n v="622200"/>
    <x v="0"/>
  </r>
  <r>
    <n v="438"/>
    <x v="0"/>
    <s v="BUY-359"/>
    <x v="0"/>
    <d v="2013-08-04T00:00:00"/>
    <x v="1"/>
    <n v="252700"/>
    <x v="3"/>
  </r>
  <r>
    <n v="439"/>
    <x v="15"/>
    <s v="BND-497"/>
    <x v="4"/>
    <d v="2013-08-14T00:00:00"/>
    <x v="0"/>
    <n v="259000"/>
    <x v="2"/>
  </r>
  <r>
    <n v="440"/>
    <x v="0"/>
    <s v="BEH-120"/>
    <x v="3"/>
    <d v="2013-08-12T00:00:00"/>
    <x v="1"/>
    <n v="246000"/>
    <x v="0"/>
  </r>
  <r>
    <n v="441"/>
    <x v="0"/>
    <s v="BUY-359"/>
    <x v="0"/>
    <d v="2013-08-18T00:00:00"/>
    <x v="0"/>
    <n v="439800"/>
    <x v="3"/>
  </r>
  <r>
    <n v="442"/>
    <x v="6"/>
    <s v="PIX-002"/>
    <x v="1"/>
    <d v="2013-08-25T00:00:00"/>
    <x v="0"/>
    <n v="252100"/>
    <x v="0"/>
  </r>
  <r>
    <n v="443"/>
    <x v="10"/>
    <s v="ZTS-446"/>
    <x v="1"/>
    <d v="2013-08-25T00:00:00"/>
    <x v="1"/>
    <n v="247000"/>
    <x v="3"/>
  </r>
  <r>
    <n v="444"/>
    <x v="11"/>
    <s v="RSX-844"/>
    <x v="2"/>
    <d v="2013-08-29T00:00:00"/>
    <x v="0"/>
    <n v="959100"/>
    <x v="2"/>
  </r>
  <r>
    <n v="445"/>
    <x v="12"/>
    <s v="ECQ-692"/>
    <x v="0"/>
    <d v="2013-08-26T00:00:00"/>
    <x v="1"/>
    <n v="260800"/>
    <x v="2"/>
  </r>
  <r>
    <n v="446"/>
    <x v="11"/>
    <s v="RSX-844"/>
    <x v="2"/>
    <d v="2013-09-03T00:00:00"/>
    <x v="1"/>
    <n v="267500"/>
    <x v="2"/>
  </r>
  <r>
    <n v="447"/>
    <x v="6"/>
    <s v="PIX-002"/>
    <x v="1"/>
    <d v="2013-08-29T00:00:00"/>
    <x v="1"/>
    <n v="297500"/>
    <x v="0"/>
  </r>
  <r>
    <n v="448"/>
    <x v="5"/>
    <s v="GQQ-394"/>
    <x v="0"/>
    <d v="2013-09-03T00:00:00"/>
    <x v="1"/>
    <n v="264000"/>
    <x v="3"/>
  </r>
  <r>
    <n v="449"/>
    <x v="4"/>
    <s v="IBY-325"/>
    <x v="0"/>
    <d v="2013-09-07T00:00:00"/>
    <x v="1"/>
    <n v="319800"/>
    <x v="0"/>
  </r>
  <r>
    <n v="450"/>
    <x v="7"/>
    <s v="MDL-513"/>
    <x v="4"/>
    <d v="2013-09-02T00:00:00"/>
    <x v="1"/>
    <n v="809900"/>
    <x v="2"/>
  </r>
  <r>
    <n v="451"/>
    <x v="16"/>
    <s v="SUX-856"/>
    <x v="4"/>
    <d v="2013-09-05T00:00:00"/>
    <x v="1"/>
    <n v="248900"/>
    <x v="3"/>
  </r>
  <r>
    <n v="452"/>
    <x v="0"/>
    <s v="FSV-125"/>
    <x v="0"/>
    <d v="2013-09-07T00:00:00"/>
    <x v="1"/>
    <n v="290900"/>
    <x v="3"/>
  </r>
  <r>
    <n v="453"/>
    <x v="2"/>
    <s v="AUK-108"/>
    <x v="0"/>
    <d v="2013-09-20T00:00:00"/>
    <x v="0"/>
    <n v="248100"/>
    <x v="2"/>
  </r>
  <r>
    <n v="454"/>
    <x v="10"/>
    <s v="JNV-031"/>
    <x v="3"/>
    <d v="2013-09-13T00:00:00"/>
    <x v="0"/>
    <n v="725600"/>
    <x v="3"/>
  </r>
  <r>
    <n v="455"/>
    <x v="4"/>
    <s v="AAW-520"/>
    <x v="4"/>
    <d v="2013-09-20T00:00:00"/>
    <x v="1"/>
    <n v="364800"/>
    <x v="1"/>
  </r>
  <r>
    <n v="456"/>
    <x v="10"/>
    <s v="JNV-031"/>
    <x v="3"/>
    <d v="2013-09-30T00:00:00"/>
    <x v="0"/>
    <n v="362400"/>
    <x v="3"/>
  </r>
  <r>
    <n v="457"/>
    <x v="3"/>
    <s v="BHQ-473"/>
    <x v="2"/>
    <d v="2013-09-27T00:00:00"/>
    <x v="1"/>
    <n v="271900"/>
    <x v="2"/>
  </r>
  <r>
    <n v="458"/>
    <x v="5"/>
    <s v="RHL-469"/>
    <x v="0"/>
    <d v="2013-10-15T00:00:00"/>
    <x v="1"/>
    <n v="279800"/>
    <x v="2"/>
  </r>
  <r>
    <n v="459"/>
    <x v="16"/>
    <s v="NAX-299"/>
    <x v="4"/>
    <d v="2013-10-12T00:00:00"/>
    <x v="0"/>
    <n v="262400"/>
    <x v="1"/>
  </r>
  <r>
    <n v="460"/>
    <x v="6"/>
    <s v="TGU-488"/>
    <x v="4"/>
    <d v="2013-10-30T00:00:00"/>
    <x v="1"/>
    <n v="288300"/>
    <x v="3"/>
  </r>
  <r>
    <n v="461"/>
    <x v="9"/>
    <s v="BSB-354"/>
    <x v="4"/>
    <d v="2013-10-30T00:00:00"/>
    <x v="0"/>
    <n v="405200"/>
    <x v="2"/>
  </r>
  <r>
    <n v="462"/>
    <x v="6"/>
    <s v="QLT-781"/>
    <x v="0"/>
    <d v="2013-10-26T00:00:00"/>
    <x v="1"/>
    <n v="238600"/>
    <x v="0"/>
  </r>
  <r>
    <n v="463"/>
    <x v="5"/>
    <s v="LCV-769"/>
    <x v="4"/>
    <d v="2013-10-30T00:00:00"/>
    <x v="1"/>
    <n v="314700"/>
    <x v="2"/>
  </r>
  <r>
    <n v="464"/>
    <x v="2"/>
    <s v="MPI-909"/>
    <x v="1"/>
    <d v="2013-10-31T00:00:00"/>
    <x v="0"/>
    <n v="828500"/>
    <x v="0"/>
  </r>
  <r>
    <n v="465"/>
    <x v="12"/>
    <s v="LBX-793"/>
    <x v="4"/>
    <d v="2013-11-07T00:00:00"/>
    <x v="0"/>
    <n v="260900"/>
    <x v="3"/>
  </r>
  <r>
    <n v="466"/>
    <x v="3"/>
    <s v="HBE-391"/>
    <x v="2"/>
    <d v="2013-11-04T00:00:00"/>
    <x v="0"/>
    <n v="936800"/>
    <x v="1"/>
  </r>
  <r>
    <n v="467"/>
    <x v="6"/>
    <s v="PIX-002"/>
    <x v="1"/>
    <d v="2013-11-08T00:00:00"/>
    <x v="0"/>
    <n v="266800"/>
    <x v="0"/>
  </r>
  <r>
    <n v="468"/>
    <x v="2"/>
    <s v="IRF-014"/>
    <x v="0"/>
    <d v="2013-11-09T00:00:00"/>
    <x v="0"/>
    <n v="379800"/>
    <x v="1"/>
  </r>
  <r>
    <n v="469"/>
    <x v="3"/>
    <s v="BHQ-473"/>
    <x v="2"/>
    <d v="2013-11-08T00:00:00"/>
    <x v="1"/>
    <n v="289400"/>
    <x v="2"/>
  </r>
  <r>
    <n v="470"/>
    <x v="7"/>
    <s v="MMJ-186"/>
    <x v="0"/>
    <d v="2013-11-11T00:00:00"/>
    <x v="1"/>
    <n v="284100"/>
    <x v="3"/>
  </r>
  <r>
    <n v="471"/>
    <x v="11"/>
    <s v="WEZ-675"/>
    <x v="2"/>
    <d v="2013-11-14T00:00:00"/>
    <x v="0"/>
    <n v="257300"/>
    <x v="3"/>
  </r>
  <r>
    <n v="472"/>
    <x v="8"/>
    <s v="NCG-044"/>
    <x v="0"/>
    <d v="2013-11-12T00:00:00"/>
    <x v="1"/>
    <n v="494800"/>
    <x v="1"/>
  </r>
  <r>
    <n v="473"/>
    <x v="10"/>
    <s v="ZTS-446"/>
    <x v="1"/>
    <d v="2013-11-20T00:00:00"/>
    <x v="1"/>
    <n v="342900"/>
    <x v="3"/>
  </r>
  <r>
    <n v="474"/>
    <x v="10"/>
    <s v="YSQ-468"/>
    <x v="4"/>
    <d v="2013-11-20T00:00:00"/>
    <x v="1"/>
    <n v="285400"/>
    <x v="2"/>
  </r>
  <r>
    <n v="475"/>
    <x v="9"/>
    <s v="BSB-354"/>
    <x v="4"/>
    <d v="2013-11-20T00:00:00"/>
    <x v="1"/>
    <n v="386300"/>
    <x v="2"/>
  </r>
  <r>
    <n v="476"/>
    <x v="16"/>
    <s v="NAX-299"/>
    <x v="4"/>
    <d v="2013-12-03T00:00:00"/>
    <x v="1"/>
    <n v="236700"/>
    <x v="1"/>
  </r>
  <r>
    <n v="477"/>
    <x v="5"/>
    <s v="TMH-386"/>
    <x v="1"/>
    <d v="2013-12-03T00:00:00"/>
    <x v="0"/>
    <n v="289200"/>
    <x v="1"/>
  </r>
  <r>
    <n v="478"/>
    <x v="6"/>
    <s v="TGU-488"/>
    <x v="4"/>
    <d v="2013-11-29T00:00:00"/>
    <x v="0"/>
    <n v="283100"/>
    <x v="3"/>
  </r>
  <r>
    <n v="479"/>
    <x v="0"/>
    <s v="ECO-657"/>
    <x v="0"/>
    <d v="2013-12-20T00:00:00"/>
    <x v="0"/>
    <n v="246700"/>
    <x v="2"/>
  </r>
  <r>
    <n v="480"/>
    <x v="5"/>
    <s v="GQQ-394"/>
    <x v="0"/>
    <d v="2013-12-22T00:00:00"/>
    <x v="1"/>
    <n v="331500"/>
    <x v="3"/>
  </r>
  <r>
    <n v="481"/>
    <x v="1"/>
    <s v="UCU-590"/>
    <x v="1"/>
    <d v="2013-12-24T00:00:00"/>
    <x v="1"/>
    <n v="361400"/>
    <x v="1"/>
  </r>
  <r>
    <n v="482"/>
    <x v="1"/>
    <s v="ZRJ-593"/>
    <x v="0"/>
    <d v="2013-12-21T00:00:00"/>
    <x v="1"/>
    <n v="250200"/>
    <x v="1"/>
  </r>
  <r>
    <n v="483"/>
    <x v="10"/>
    <s v="URR-404"/>
    <x v="1"/>
    <d v="2013-12-27T00:00:00"/>
    <x v="0"/>
    <n v="286700"/>
    <x v="1"/>
  </r>
  <r>
    <n v="484"/>
    <x v="4"/>
    <s v="HPA-704"/>
    <x v="3"/>
    <d v="2014-01-10T00:00:00"/>
    <x v="1"/>
    <n v="295300"/>
    <x v="0"/>
  </r>
  <r>
    <n v="485"/>
    <x v="8"/>
    <s v="TVI-058"/>
    <x v="3"/>
    <d v="2014-01-15T00:00:00"/>
    <x v="1"/>
    <n v="971500"/>
    <x v="2"/>
  </r>
  <r>
    <n v="486"/>
    <x v="16"/>
    <s v="NAX-299"/>
    <x v="4"/>
    <d v="2014-01-20T00:00:00"/>
    <x v="0"/>
    <n v="257500"/>
    <x v="1"/>
  </r>
  <r>
    <n v="487"/>
    <x v="12"/>
    <s v="RYN-380"/>
    <x v="1"/>
    <d v="2014-01-17T00:00:00"/>
    <x v="1"/>
    <n v="675100"/>
    <x v="0"/>
  </r>
  <r>
    <n v="488"/>
    <x v="11"/>
    <s v="RSX-844"/>
    <x v="2"/>
    <d v="2014-01-19T00:00:00"/>
    <x v="1"/>
    <n v="953400"/>
    <x v="2"/>
  </r>
  <r>
    <n v="489"/>
    <x v="0"/>
    <s v="ECO-657"/>
    <x v="0"/>
    <d v="2014-01-23T00:00:00"/>
    <x v="0"/>
    <n v="256100"/>
    <x v="2"/>
  </r>
  <r>
    <n v="490"/>
    <x v="11"/>
    <s v="RSX-844"/>
    <x v="2"/>
    <d v="2014-01-25T00:00:00"/>
    <x v="0"/>
    <n v="272100"/>
    <x v="2"/>
  </r>
  <r>
    <n v="491"/>
    <x v="5"/>
    <s v="GQQ-394"/>
    <x v="0"/>
    <d v="2014-01-24T00:00:00"/>
    <x v="0"/>
    <n v="345800"/>
    <x v="3"/>
  </r>
  <r>
    <n v="492"/>
    <x v="10"/>
    <s v="YSQ-468"/>
    <x v="4"/>
    <d v="2014-01-29T00:00:00"/>
    <x v="1"/>
    <n v="426500"/>
    <x v="2"/>
  </r>
  <r>
    <n v="493"/>
    <x v="8"/>
    <s v="TVI-058"/>
    <x v="3"/>
    <d v="2014-01-31T00:00:00"/>
    <x v="1"/>
    <n v="417000"/>
    <x v="2"/>
  </r>
  <r>
    <n v="494"/>
    <x v="2"/>
    <s v="MPI-909"/>
    <x v="1"/>
    <d v="2014-02-04T00:00:00"/>
    <x v="1"/>
    <n v="290200"/>
    <x v="0"/>
  </r>
  <r>
    <n v="495"/>
    <x v="14"/>
    <s v="TXD-461"/>
    <x v="2"/>
    <d v="2014-02-04T00:00:00"/>
    <x v="1"/>
    <n v="399900"/>
    <x v="3"/>
  </r>
  <r>
    <n v="496"/>
    <x v="0"/>
    <s v="BEH-120"/>
    <x v="3"/>
    <d v="2014-02-03T00:00:00"/>
    <x v="0"/>
    <n v="235900"/>
    <x v="0"/>
  </r>
  <r>
    <n v="497"/>
    <x v="4"/>
    <s v="PLS-408"/>
    <x v="1"/>
    <d v="2014-02-06T00:00:00"/>
    <x v="1"/>
    <n v="255500"/>
    <x v="0"/>
  </r>
  <r>
    <n v="498"/>
    <x v="10"/>
    <s v="JNV-031"/>
    <x v="3"/>
    <d v="2014-02-12T00:00:00"/>
    <x v="0"/>
    <n v="259600"/>
    <x v="3"/>
  </r>
  <r>
    <n v="499"/>
    <x v="0"/>
    <s v="BUY-359"/>
    <x v="0"/>
    <d v="2014-02-18T00:00:00"/>
    <x v="1"/>
    <n v="679100"/>
    <x v="3"/>
  </r>
  <r>
    <n v="500"/>
    <x v="9"/>
    <s v="EKR-064"/>
    <x v="4"/>
    <d v="2014-02-21T00:00:00"/>
    <x v="0"/>
    <n v="272100"/>
    <x v="1"/>
  </r>
  <r>
    <n v="501"/>
    <x v="7"/>
    <s v="MDL-513"/>
    <x v="4"/>
    <d v="2014-02-26T00:00:00"/>
    <x v="1"/>
    <n v="393200"/>
    <x v="2"/>
  </r>
  <r>
    <n v="502"/>
    <x v="2"/>
    <s v="AUK-108"/>
    <x v="0"/>
    <d v="2014-03-03T00:00:00"/>
    <x v="1"/>
    <n v="406100"/>
    <x v="2"/>
  </r>
  <r>
    <n v="503"/>
    <x v="8"/>
    <s v="NCG-044"/>
    <x v="0"/>
    <d v="2014-03-07T00:00:00"/>
    <x v="1"/>
    <n v="248100"/>
    <x v="1"/>
  </r>
  <r>
    <n v="504"/>
    <x v="12"/>
    <s v="RYN-380"/>
    <x v="1"/>
    <d v="2014-03-03T00:00:00"/>
    <x v="0"/>
    <n v="286300"/>
    <x v="0"/>
  </r>
  <r>
    <n v="505"/>
    <x v="9"/>
    <s v="HOX-539"/>
    <x v="4"/>
    <d v="2014-03-16T00:00:00"/>
    <x v="1"/>
    <n v="497300"/>
    <x v="1"/>
  </r>
  <r>
    <n v="506"/>
    <x v="12"/>
    <s v="ECQ-692"/>
    <x v="0"/>
    <d v="2014-03-17T00:00:00"/>
    <x v="0"/>
    <n v="350300"/>
    <x v="2"/>
  </r>
  <r>
    <n v="507"/>
    <x v="12"/>
    <s v="ECQ-692"/>
    <x v="0"/>
    <d v="2014-03-12T00:00:00"/>
    <x v="0"/>
    <n v="256000"/>
    <x v="2"/>
  </r>
  <r>
    <n v="508"/>
    <x v="16"/>
    <s v="LFL-867"/>
    <x v="1"/>
    <d v="2014-03-16T00:00:00"/>
    <x v="0"/>
    <n v="858800"/>
    <x v="0"/>
  </r>
  <r>
    <n v="509"/>
    <x v="0"/>
    <s v="BEH-120"/>
    <x v="3"/>
    <d v="2014-03-23T00:00:00"/>
    <x v="0"/>
    <n v="261200"/>
    <x v="0"/>
  </r>
  <r>
    <n v="510"/>
    <x v="4"/>
    <s v="HPA-704"/>
    <x v="3"/>
    <d v="2014-03-31T00:00:00"/>
    <x v="1"/>
    <n v="367000"/>
    <x v="0"/>
  </r>
  <r>
    <n v="511"/>
    <x v="3"/>
    <s v="HBE-391"/>
    <x v="2"/>
    <d v="2014-03-29T00:00:00"/>
    <x v="1"/>
    <n v="614200"/>
    <x v="1"/>
  </r>
  <r>
    <n v="512"/>
    <x v="15"/>
    <s v="ZPQ-733"/>
    <x v="3"/>
    <d v="2014-03-26T00:00:00"/>
    <x v="1"/>
    <n v="257200"/>
    <x v="0"/>
  </r>
  <r>
    <n v="513"/>
    <x v="4"/>
    <s v="XIE-101"/>
    <x v="1"/>
    <d v="2014-03-27T00:00:00"/>
    <x v="1"/>
    <n v="430400"/>
    <x v="2"/>
  </r>
  <r>
    <n v="514"/>
    <x v="2"/>
    <s v="MPI-909"/>
    <x v="1"/>
    <d v="2014-04-03T00:00:00"/>
    <x v="1"/>
    <n v="285000"/>
    <x v="0"/>
  </r>
  <r>
    <n v="515"/>
    <x v="9"/>
    <s v="BSB-354"/>
    <x v="4"/>
    <d v="2014-04-10T00:00:00"/>
    <x v="0"/>
    <n v="291000"/>
    <x v="2"/>
  </r>
  <r>
    <n v="516"/>
    <x v="7"/>
    <s v="LAD-215"/>
    <x v="0"/>
    <d v="2014-04-10T00:00:00"/>
    <x v="0"/>
    <n v="298100"/>
    <x v="1"/>
  </r>
  <r>
    <n v="517"/>
    <x v="5"/>
    <s v="LCV-769"/>
    <x v="4"/>
    <d v="2014-04-13T00:00:00"/>
    <x v="1"/>
    <n v="467800"/>
    <x v="2"/>
  </r>
  <r>
    <n v="518"/>
    <x v="5"/>
    <s v="GGJ-297"/>
    <x v="1"/>
    <d v="2014-04-22T00:00:00"/>
    <x v="1"/>
    <n v="637100"/>
    <x v="0"/>
  </r>
  <r>
    <n v="519"/>
    <x v="4"/>
    <s v="IBY-325"/>
    <x v="0"/>
    <d v="2014-05-02T00:00:00"/>
    <x v="0"/>
    <n v="264300"/>
    <x v="0"/>
  </r>
  <r>
    <n v="520"/>
    <x v="14"/>
    <s v="TXD-461"/>
    <x v="2"/>
    <d v="2014-05-10T00:00:00"/>
    <x v="1"/>
    <n v="282600"/>
    <x v="3"/>
  </r>
  <r>
    <n v="521"/>
    <x v="10"/>
    <s v="URR-404"/>
    <x v="1"/>
    <d v="2014-05-09T00:00:00"/>
    <x v="0"/>
    <n v="748700"/>
    <x v="1"/>
  </r>
  <r>
    <n v="522"/>
    <x v="4"/>
    <s v="PLS-408"/>
    <x v="1"/>
    <d v="2014-05-16T00:00:00"/>
    <x v="1"/>
    <n v="259900"/>
    <x v="0"/>
  </r>
  <r>
    <n v="523"/>
    <x v="14"/>
    <s v="TXD-461"/>
    <x v="2"/>
    <d v="2014-05-18T00:00:00"/>
    <x v="1"/>
    <n v="282800"/>
    <x v="3"/>
  </r>
  <r>
    <n v="524"/>
    <x v="10"/>
    <s v="URR-404"/>
    <x v="1"/>
    <d v="2014-06-05T00:00:00"/>
    <x v="1"/>
    <n v="906100"/>
    <x v="1"/>
  </r>
  <r>
    <n v="525"/>
    <x v="0"/>
    <s v="BUY-359"/>
    <x v="0"/>
    <d v="2014-06-03T00:00:00"/>
    <x v="1"/>
    <n v="295600"/>
    <x v="3"/>
  </r>
  <r>
    <n v="526"/>
    <x v="12"/>
    <s v="IXP-392"/>
    <x v="0"/>
    <d v="2014-06-07T00:00:00"/>
    <x v="1"/>
    <n v="379100"/>
    <x v="1"/>
  </r>
  <r>
    <n v="527"/>
    <x v="2"/>
    <s v="TRZ-647"/>
    <x v="4"/>
    <d v="2014-06-17T00:00:00"/>
    <x v="1"/>
    <n v="236600"/>
    <x v="3"/>
  </r>
  <r>
    <n v="528"/>
    <x v="5"/>
    <s v="TMH-386"/>
    <x v="1"/>
    <d v="2014-06-16T00:00:00"/>
    <x v="1"/>
    <n v="287400"/>
    <x v="1"/>
  </r>
  <r>
    <n v="529"/>
    <x v="7"/>
    <s v="MMJ-186"/>
    <x v="0"/>
    <d v="2014-06-13T00:00:00"/>
    <x v="1"/>
    <n v="421500"/>
    <x v="3"/>
  </r>
  <r>
    <n v="530"/>
    <x v="12"/>
    <s v="WLK-100"/>
    <x v="0"/>
    <d v="2014-06-15T00:00:00"/>
    <x v="0"/>
    <n v="476400"/>
    <x v="1"/>
  </r>
  <r>
    <n v="531"/>
    <x v="9"/>
    <s v="EKR-064"/>
    <x v="4"/>
    <d v="2014-06-19T00:00:00"/>
    <x v="1"/>
    <n v="255100"/>
    <x v="1"/>
  </r>
  <r>
    <n v="532"/>
    <x v="4"/>
    <s v="XIE-101"/>
    <x v="1"/>
    <d v="2014-06-21T00:00:00"/>
    <x v="1"/>
    <n v="278200"/>
    <x v="2"/>
  </r>
  <r>
    <n v="533"/>
    <x v="11"/>
    <s v="WEZ-675"/>
    <x v="2"/>
    <d v="2014-06-26T00:00:00"/>
    <x v="1"/>
    <n v="270600"/>
    <x v="3"/>
  </r>
  <r>
    <n v="534"/>
    <x v="16"/>
    <s v="NAX-299"/>
    <x v="4"/>
    <d v="2014-07-07T00:00:00"/>
    <x v="1"/>
    <n v="287600"/>
    <x v="1"/>
  </r>
  <r>
    <n v="535"/>
    <x v="0"/>
    <s v="FSV-125"/>
    <x v="0"/>
    <d v="2014-07-03T00:00:00"/>
    <x v="0"/>
    <n v="997000"/>
    <x v="3"/>
  </r>
  <r>
    <n v="536"/>
    <x v="2"/>
    <s v="MPI-909"/>
    <x v="1"/>
    <d v="2014-07-06T00:00:00"/>
    <x v="1"/>
    <n v="286400"/>
    <x v="0"/>
  </r>
  <r>
    <n v="537"/>
    <x v="5"/>
    <s v="RHL-469"/>
    <x v="0"/>
    <d v="2014-07-09T00:00:00"/>
    <x v="0"/>
    <n v="255300"/>
    <x v="2"/>
  </r>
  <r>
    <n v="538"/>
    <x v="6"/>
    <s v="PIX-002"/>
    <x v="1"/>
    <d v="2014-07-12T00:00:00"/>
    <x v="0"/>
    <n v="495100"/>
    <x v="0"/>
  </r>
  <r>
    <n v="539"/>
    <x v="12"/>
    <s v="RYN-380"/>
    <x v="1"/>
    <d v="2014-07-14T00:00:00"/>
    <x v="1"/>
    <n v="382200"/>
    <x v="0"/>
  </r>
  <r>
    <n v="540"/>
    <x v="16"/>
    <s v="LFL-867"/>
    <x v="1"/>
    <d v="2014-07-07T00:00:00"/>
    <x v="0"/>
    <n v="235300"/>
    <x v="0"/>
  </r>
  <r>
    <n v="541"/>
    <x v="0"/>
    <s v="UYV-076"/>
    <x v="0"/>
    <d v="2014-07-14T00:00:00"/>
    <x v="1"/>
    <n v="269100"/>
    <x v="0"/>
  </r>
  <r>
    <n v="542"/>
    <x v="9"/>
    <s v="HOX-539"/>
    <x v="4"/>
    <d v="2014-07-14T00:00:00"/>
    <x v="1"/>
    <n v="300400"/>
    <x v="1"/>
  </r>
  <r>
    <n v="543"/>
    <x v="10"/>
    <s v="URR-404"/>
    <x v="1"/>
    <d v="2014-07-19T00:00:00"/>
    <x v="1"/>
    <n v="363000"/>
    <x v="1"/>
  </r>
  <r>
    <n v="544"/>
    <x v="6"/>
    <s v="QLT-781"/>
    <x v="0"/>
    <d v="2014-07-19T00:00:00"/>
    <x v="0"/>
    <n v="613700"/>
    <x v="0"/>
  </r>
  <r>
    <n v="545"/>
    <x v="14"/>
    <s v="TXD-461"/>
    <x v="2"/>
    <d v="2014-07-21T00:00:00"/>
    <x v="1"/>
    <n v="268000"/>
    <x v="3"/>
  </r>
  <r>
    <n v="546"/>
    <x v="15"/>
    <s v="ZPQ-733"/>
    <x v="3"/>
    <d v="2014-08-02T00:00:00"/>
    <x v="0"/>
    <n v="273000"/>
    <x v="0"/>
  </r>
  <r>
    <n v="547"/>
    <x v="6"/>
    <s v="AKD-565"/>
    <x v="0"/>
    <d v="2014-08-04T00:00:00"/>
    <x v="0"/>
    <n v="493400"/>
    <x v="0"/>
  </r>
  <r>
    <n v="548"/>
    <x v="17"/>
    <s v="IGX-960"/>
    <x v="1"/>
    <d v="2014-08-01T00:00:00"/>
    <x v="1"/>
    <n v="277700"/>
    <x v="2"/>
  </r>
  <r>
    <n v="549"/>
    <x v="12"/>
    <s v="IXP-392"/>
    <x v="0"/>
    <d v="2014-08-08T00:00:00"/>
    <x v="0"/>
    <n v="431100"/>
    <x v="1"/>
  </r>
  <r>
    <n v="550"/>
    <x v="12"/>
    <s v="ECQ-692"/>
    <x v="0"/>
    <d v="2014-08-07T00:00:00"/>
    <x v="1"/>
    <n v="239700"/>
    <x v="2"/>
  </r>
  <r>
    <n v="551"/>
    <x v="4"/>
    <s v="HPA-704"/>
    <x v="3"/>
    <d v="2014-08-18T00:00:00"/>
    <x v="0"/>
    <n v="258400"/>
    <x v="0"/>
  </r>
  <r>
    <n v="552"/>
    <x v="16"/>
    <s v="SUX-856"/>
    <x v="4"/>
    <d v="2014-08-30T00:00:00"/>
    <x v="0"/>
    <n v="648900"/>
    <x v="3"/>
  </r>
  <r>
    <n v="553"/>
    <x v="0"/>
    <s v="BUY-359"/>
    <x v="0"/>
    <d v="2014-09-07T00:00:00"/>
    <x v="1"/>
    <n v="439900"/>
    <x v="3"/>
  </r>
  <r>
    <n v="554"/>
    <x v="14"/>
    <s v="IGI-371"/>
    <x v="2"/>
    <d v="2014-09-10T00:00:00"/>
    <x v="1"/>
    <n v="481600"/>
    <x v="3"/>
  </r>
  <r>
    <n v="555"/>
    <x v="8"/>
    <s v="JSF-047"/>
    <x v="3"/>
    <d v="2014-09-08T00:00:00"/>
    <x v="1"/>
    <n v="243200"/>
    <x v="1"/>
  </r>
  <r>
    <n v="556"/>
    <x v="6"/>
    <s v="AKD-565"/>
    <x v="0"/>
    <d v="2014-09-16T00:00:00"/>
    <x v="1"/>
    <n v="335800"/>
    <x v="0"/>
  </r>
  <r>
    <n v="557"/>
    <x v="0"/>
    <s v="BUY-359"/>
    <x v="0"/>
    <d v="2014-09-22T00:00:00"/>
    <x v="0"/>
    <n v="249100"/>
    <x v="3"/>
  </r>
  <r>
    <n v="558"/>
    <x v="2"/>
    <s v="TRZ-647"/>
    <x v="4"/>
    <d v="2014-09-21T00:00:00"/>
    <x v="0"/>
    <n v="249100"/>
    <x v="3"/>
  </r>
  <r>
    <n v="559"/>
    <x v="6"/>
    <s v="QLT-781"/>
    <x v="0"/>
    <d v="2014-09-24T00:00:00"/>
    <x v="1"/>
    <n v="347900"/>
    <x v="0"/>
  </r>
  <r>
    <n v="560"/>
    <x v="2"/>
    <s v="AUK-108"/>
    <x v="0"/>
    <d v="2014-10-01T00:00:00"/>
    <x v="0"/>
    <n v="406000"/>
    <x v="2"/>
  </r>
  <r>
    <n v="561"/>
    <x v="8"/>
    <s v="JSF-047"/>
    <x v="3"/>
    <d v="2014-09-25T00:00:00"/>
    <x v="0"/>
    <n v="237400"/>
    <x v="1"/>
  </r>
  <r>
    <n v="562"/>
    <x v="1"/>
    <s v="UCU-590"/>
    <x v="1"/>
    <d v="2014-10-10T00:00:00"/>
    <x v="0"/>
    <n v="289500"/>
    <x v="1"/>
  </r>
  <r>
    <n v="563"/>
    <x v="7"/>
    <s v="MMJ-186"/>
    <x v="0"/>
    <d v="2014-10-11T00:00:00"/>
    <x v="1"/>
    <n v="270600"/>
    <x v="3"/>
  </r>
  <r>
    <n v="564"/>
    <x v="2"/>
    <s v="AUK-108"/>
    <x v="0"/>
    <d v="2014-10-15T00:00:00"/>
    <x v="0"/>
    <n v="284200"/>
    <x v="2"/>
  </r>
  <r>
    <n v="565"/>
    <x v="16"/>
    <s v="NAX-299"/>
    <x v="4"/>
    <d v="2014-10-17T00:00:00"/>
    <x v="1"/>
    <n v="490900"/>
    <x v="1"/>
  </r>
  <r>
    <n v="566"/>
    <x v="4"/>
    <s v="AAW-520"/>
    <x v="4"/>
    <d v="2014-10-15T00:00:00"/>
    <x v="1"/>
    <n v="284800"/>
    <x v="1"/>
  </r>
  <r>
    <n v="567"/>
    <x v="2"/>
    <s v="OGH-586"/>
    <x v="3"/>
    <d v="2014-10-22T00:00:00"/>
    <x v="0"/>
    <n v="403100"/>
    <x v="1"/>
  </r>
  <r>
    <n v="568"/>
    <x v="0"/>
    <s v="BEH-120"/>
    <x v="3"/>
    <d v="2014-11-01T00:00:00"/>
    <x v="1"/>
    <n v="258900"/>
    <x v="0"/>
  </r>
  <r>
    <n v="569"/>
    <x v="6"/>
    <s v="QLT-781"/>
    <x v="0"/>
    <d v="2014-10-31T00:00:00"/>
    <x v="0"/>
    <n v="281300"/>
    <x v="0"/>
  </r>
  <r>
    <n v="570"/>
    <x v="0"/>
    <s v="UYV-076"/>
    <x v="0"/>
    <d v="2014-11-03T00:00:00"/>
    <x v="1"/>
    <n v="236400"/>
    <x v="0"/>
  </r>
  <r>
    <n v="571"/>
    <x v="0"/>
    <s v="APD-659"/>
    <x v="3"/>
    <d v="2014-11-04T00:00:00"/>
    <x v="0"/>
    <n v="274600"/>
    <x v="2"/>
  </r>
  <r>
    <n v="572"/>
    <x v="6"/>
    <s v="QLT-781"/>
    <x v="0"/>
    <d v="2014-11-05T00:00:00"/>
    <x v="0"/>
    <n v="942600"/>
    <x v="0"/>
  </r>
  <r>
    <n v="573"/>
    <x v="1"/>
    <s v="UCU-590"/>
    <x v="1"/>
    <d v="2014-11-14T00:00:00"/>
    <x v="0"/>
    <n v="243700"/>
    <x v="1"/>
  </r>
  <r>
    <n v="574"/>
    <x v="5"/>
    <s v="GGJ-297"/>
    <x v="1"/>
    <d v="2014-11-08T00:00:00"/>
    <x v="1"/>
    <n v="805900"/>
    <x v="0"/>
  </r>
  <r>
    <n v="575"/>
    <x v="5"/>
    <s v="GGJ-297"/>
    <x v="1"/>
    <d v="2014-11-16T00:00:00"/>
    <x v="0"/>
    <n v="481500"/>
    <x v="0"/>
  </r>
  <r>
    <n v="576"/>
    <x v="2"/>
    <s v="MPI-909"/>
    <x v="1"/>
    <d v="2014-11-21T00:00:00"/>
    <x v="0"/>
    <n v="267500"/>
    <x v="0"/>
  </r>
  <r>
    <n v="577"/>
    <x v="4"/>
    <s v="AAW-520"/>
    <x v="4"/>
    <d v="2014-12-02T00:00:00"/>
    <x v="1"/>
    <n v="431800"/>
    <x v="1"/>
  </r>
  <r>
    <n v="578"/>
    <x v="15"/>
    <s v="BND-497"/>
    <x v="4"/>
    <d v="2014-11-30T00:00:00"/>
    <x v="0"/>
    <n v="240900"/>
    <x v="2"/>
  </r>
  <r>
    <n v="579"/>
    <x v="17"/>
    <s v="THS-050"/>
    <x v="4"/>
    <d v="2014-12-05T00:00:00"/>
    <x v="1"/>
    <n v="256900"/>
    <x v="0"/>
  </r>
  <r>
    <n v="580"/>
    <x v="5"/>
    <s v="HYZ-268"/>
    <x v="1"/>
    <d v="2014-12-08T00:00:00"/>
    <x v="1"/>
    <n v="678400"/>
    <x v="3"/>
  </r>
  <r>
    <n v="581"/>
    <x v="6"/>
    <s v="KEB-400"/>
    <x v="0"/>
    <d v="2014-12-10T00:00:00"/>
    <x v="1"/>
    <n v="697800"/>
    <x v="2"/>
  </r>
  <r>
    <n v="582"/>
    <x v="5"/>
    <s v="TMH-386"/>
    <x v="1"/>
    <d v="2014-12-10T00:00:00"/>
    <x v="1"/>
    <n v="263000"/>
    <x v="1"/>
  </r>
  <r>
    <n v="583"/>
    <x v="4"/>
    <s v="PLS-408"/>
    <x v="1"/>
    <d v="2014-12-22T00:00:00"/>
    <x v="1"/>
    <n v="451700"/>
    <x v="0"/>
  </r>
  <r>
    <n v="584"/>
    <x v="14"/>
    <s v="IGI-371"/>
    <x v="2"/>
    <d v="2014-12-24T00:00:00"/>
    <x v="1"/>
    <n v="275500"/>
    <x v="3"/>
  </r>
  <r>
    <n v="585"/>
    <x v="17"/>
    <s v="IGX-960"/>
    <x v="1"/>
    <d v="2014-12-27T00:00:00"/>
    <x v="1"/>
    <n v="471900"/>
    <x v="2"/>
  </r>
  <r>
    <n v="586"/>
    <x v="0"/>
    <s v="APD-659"/>
    <x v="3"/>
    <d v="2014-12-23T00:00:00"/>
    <x v="1"/>
    <n v="368700"/>
    <x v="2"/>
  </r>
  <r>
    <n v="587"/>
    <x v="9"/>
    <s v="HOX-539"/>
    <x v="4"/>
    <d v="2015-01-01T00:00:00"/>
    <x v="0"/>
    <n v="1079300"/>
    <x v="1"/>
  </r>
  <r>
    <n v="588"/>
    <x v="12"/>
    <s v="IXP-392"/>
    <x v="0"/>
    <d v="2015-01-09T00:00:00"/>
    <x v="1"/>
    <n v="293000"/>
    <x v="1"/>
  </r>
  <r>
    <n v="589"/>
    <x v="4"/>
    <s v="IBY-325"/>
    <x v="0"/>
    <d v="2015-01-15T00:00:00"/>
    <x v="0"/>
    <n v="246300"/>
    <x v="0"/>
  </r>
  <r>
    <n v="590"/>
    <x v="17"/>
    <s v="THS-050"/>
    <x v="4"/>
    <d v="2015-01-09T00:00:00"/>
    <x v="1"/>
    <n v="1088100"/>
    <x v="0"/>
  </r>
  <r>
    <n v="591"/>
    <x v="0"/>
    <s v="UYV-076"/>
    <x v="0"/>
    <d v="2015-01-18T00:00:00"/>
    <x v="0"/>
    <n v="313900"/>
    <x v="0"/>
  </r>
  <r>
    <n v="592"/>
    <x v="8"/>
    <s v="YUF-368"/>
    <x v="0"/>
    <d v="2015-01-25T00:00:00"/>
    <x v="1"/>
    <n v="283600"/>
    <x v="1"/>
  </r>
  <r>
    <n v="593"/>
    <x v="1"/>
    <s v="ZRJ-593"/>
    <x v="0"/>
    <d v="2015-01-21T00:00:00"/>
    <x v="1"/>
    <n v="302000"/>
    <x v="1"/>
  </r>
  <r>
    <n v="594"/>
    <x v="2"/>
    <s v="AUK-108"/>
    <x v="0"/>
    <d v="2015-01-21T00:00:00"/>
    <x v="1"/>
    <n v="295300"/>
    <x v="2"/>
  </r>
  <r>
    <n v="595"/>
    <x v="0"/>
    <s v="APD-659"/>
    <x v="3"/>
    <d v="2015-01-22T00:00:00"/>
    <x v="1"/>
    <n v="349900"/>
    <x v="2"/>
  </r>
  <r>
    <n v="596"/>
    <x v="5"/>
    <s v="HYZ-268"/>
    <x v="1"/>
    <d v="2015-01-30T00:00:00"/>
    <x v="1"/>
    <n v="813200"/>
    <x v="3"/>
  </r>
  <r>
    <n v="597"/>
    <x v="9"/>
    <s v="EKR-064"/>
    <x v="4"/>
    <d v="2015-01-29T00:00:00"/>
    <x v="0"/>
    <n v="290500"/>
    <x v="1"/>
  </r>
  <r>
    <n v="598"/>
    <x v="10"/>
    <s v="URR-404"/>
    <x v="1"/>
    <d v="2015-02-08T00:00:00"/>
    <x v="0"/>
    <n v="375500"/>
    <x v="1"/>
  </r>
  <r>
    <n v="599"/>
    <x v="2"/>
    <s v="MPI-909"/>
    <x v="1"/>
    <d v="2015-01-31T00:00:00"/>
    <x v="0"/>
    <n v="269300"/>
    <x v="0"/>
  </r>
  <r>
    <n v="600"/>
    <x v="7"/>
    <s v="LAD-215"/>
    <x v="0"/>
    <d v="2015-02-06T00:00:00"/>
    <x v="0"/>
    <n v="264600"/>
    <x v="1"/>
  </r>
  <r>
    <n v="601"/>
    <x v="17"/>
    <s v="IGX-960"/>
    <x v="1"/>
    <d v="2015-02-21T00:00:00"/>
    <x v="0"/>
    <n v="294100"/>
    <x v="2"/>
  </r>
  <r>
    <n v="602"/>
    <x v="1"/>
    <s v="SMU-668"/>
    <x v="0"/>
    <d v="2015-02-18T00:00:00"/>
    <x v="1"/>
    <n v="461600"/>
    <x v="2"/>
  </r>
  <r>
    <n v="603"/>
    <x v="4"/>
    <s v="XIE-101"/>
    <x v="1"/>
    <d v="2015-02-27T00:00:00"/>
    <x v="1"/>
    <n v="635200"/>
    <x v="2"/>
  </r>
  <r>
    <n v="604"/>
    <x v="9"/>
    <s v="EKR-064"/>
    <x v="4"/>
    <d v="2015-03-06T00:00:00"/>
    <x v="0"/>
    <n v="680700"/>
    <x v="1"/>
  </r>
  <r>
    <n v="605"/>
    <x v="1"/>
    <s v="ZRJ-593"/>
    <x v="0"/>
    <d v="2015-03-02T00:00:00"/>
    <x v="1"/>
    <n v="871900"/>
    <x v="1"/>
  </r>
  <r>
    <n v="606"/>
    <x v="0"/>
    <s v="ECO-657"/>
    <x v="0"/>
    <d v="2015-03-11T00:00:00"/>
    <x v="1"/>
    <n v="271300"/>
    <x v="2"/>
  </r>
  <r>
    <n v="607"/>
    <x v="4"/>
    <s v="PLS-408"/>
    <x v="1"/>
    <d v="2015-03-10T00:00:00"/>
    <x v="1"/>
    <n v="302400"/>
    <x v="0"/>
  </r>
  <r>
    <n v="608"/>
    <x v="0"/>
    <s v="ECO-657"/>
    <x v="0"/>
    <d v="2015-03-17T00:00:00"/>
    <x v="1"/>
    <n v="461100"/>
    <x v="2"/>
  </r>
  <r>
    <n v="609"/>
    <x v="10"/>
    <s v="LIG-440"/>
    <x v="1"/>
    <d v="2015-03-16T00:00:00"/>
    <x v="1"/>
    <n v="698000"/>
    <x v="3"/>
  </r>
  <r>
    <n v="610"/>
    <x v="4"/>
    <s v="PLS-408"/>
    <x v="1"/>
    <d v="2015-03-17T00:00:00"/>
    <x v="1"/>
    <n v="326300"/>
    <x v="0"/>
  </r>
  <r>
    <n v="611"/>
    <x v="4"/>
    <s v="AAW-520"/>
    <x v="4"/>
    <d v="2015-03-18T00:00:00"/>
    <x v="0"/>
    <n v="267100"/>
    <x v="1"/>
  </r>
  <r>
    <n v="612"/>
    <x v="3"/>
    <s v="HBE-391"/>
    <x v="2"/>
    <d v="2015-03-20T00:00:00"/>
    <x v="1"/>
    <n v="289500"/>
    <x v="1"/>
  </r>
  <r>
    <n v="613"/>
    <x v="9"/>
    <s v="EKR-064"/>
    <x v="4"/>
    <d v="2015-03-21T00:00:00"/>
    <x v="1"/>
    <n v="245800"/>
    <x v="1"/>
  </r>
  <r>
    <n v="614"/>
    <x v="12"/>
    <s v="ECQ-692"/>
    <x v="0"/>
    <d v="2015-04-08T00:00:00"/>
    <x v="0"/>
    <n v="249800"/>
    <x v="2"/>
  </r>
  <r>
    <n v="615"/>
    <x v="12"/>
    <s v="LBX-793"/>
    <x v="4"/>
    <d v="2015-04-07T00:00:00"/>
    <x v="1"/>
    <n v="473100"/>
    <x v="3"/>
  </r>
  <r>
    <n v="616"/>
    <x v="6"/>
    <s v="KEB-400"/>
    <x v="0"/>
    <d v="2015-04-15T00:00:00"/>
    <x v="0"/>
    <n v="809500"/>
    <x v="2"/>
  </r>
  <r>
    <n v="617"/>
    <x v="10"/>
    <s v="LIG-440"/>
    <x v="1"/>
    <d v="2015-04-07T00:00:00"/>
    <x v="0"/>
    <n v="496600"/>
    <x v="3"/>
  </r>
  <r>
    <n v="618"/>
    <x v="12"/>
    <s v="WLK-100"/>
    <x v="0"/>
    <d v="2015-04-16T00:00:00"/>
    <x v="1"/>
    <n v="237900"/>
    <x v="1"/>
  </r>
  <r>
    <n v="619"/>
    <x v="16"/>
    <s v="NAX-299"/>
    <x v="4"/>
    <d v="2015-04-13T00:00:00"/>
    <x v="0"/>
    <n v="298900"/>
    <x v="1"/>
  </r>
  <r>
    <n v="620"/>
    <x v="0"/>
    <s v="BEH-120"/>
    <x v="3"/>
    <d v="2015-04-15T00:00:00"/>
    <x v="1"/>
    <n v="270200"/>
    <x v="0"/>
  </r>
  <r>
    <n v="621"/>
    <x v="14"/>
    <s v="TXD-461"/>
    <x v="2"/>
    <d v="2015-04-28T00:00:00"/>
    <x v="1"/>
    <n v="254500"/>
    <x v="3"/>
  </r>
  <r>
    <n v="622"/>
    <x v="10"/>
    <s v="URR-404"/>
    <x v="1"/>
    <d v="2015-04-28T00:00:00"/>
    <x v="1"/>
    <n v="259700"/>
    <x v="1"/>
  </r>
  <r>
    <n v="623"/>
    <x v="12"/>
    <s v="LBX-793"/>
    <x v="4"/>
    <d v="2015-05-03T00:00:00"/>
    <x v="1"/>
    <n v="267800"/>
    <x v="3"/>
  </r>
  <r>
    <n v="624"/>
    <x v="2"/>
    <s v="QAV-783"/>
    <x v="4"/>
    <d v="2015-05-08T00:00:00"/>
    <x v="0"/>
    <n v="340600"/>
    <x v="1"/>
  </r>
  <r>
    <n v="625"/>
    <x v="4"/>
    <s v="IBY-325"/>
    <x v="0"/>
    <d v="2015-05-03T00:00:00"/>
    <x v="0"/>
    <n v="934400"/>
    <x v="0"/>
  </r>
  <r>
    <n v="626"/>
    <x v="7"/>
    <s v="LAD-215"/>
    <x v="0"/>
    <d v="2015-05-09T00:00:00"/>
    <x v="0"/>
    <n v="289300"/>
    <x v="1"/>
  </r>
  <r>
    <n v="627"/>
    <x v="5"/>
    <s v="LCV-769"/>
    <x v="4"/>
    <d v="2015-05-21T00:00:00"/>
    <x v="1"/>
    <n v="235600"/>
    <x v="2"/>
  </r>
  <r>
    <n v="628"/>
    <x v="12"/>
    <s v="IXP-392"/>
    <x v="0"/>
    <d v="2015-05-25T00:00:00"/>
    <x v="1"/>
    <n v="927700"/>
    <x v="1"/>
  </r>
  <r>
    <n v="629"/>
    <x v="7"/>
    <s v="MDL-513"/>
    <x v="4"/>
    <d v="2015-06-03T00:00:00"/>
    <x v="1"/>
    <n v="241800"/>
    <x v="2"/>
  </r>
  <r>
    <n v="630"/>
    <x v="10"/>
    <s v="ZTS-446"/>
    <x v="1"/>
    <d v="2015-06-04T00:00:00"/>
    <x v="0"/>
    <n v="281100"/>
    <x v="3"/>
  </r>
  <r>
    <n v="631"/>
    <x v="7"/>
    <s v="LAD-215"/>
    <x v="0"/>
    <d v="2015-06-05T00:00:00"/>
    <x v="1"/>
    <n v="422600"/>
    <x v="1"/>
  </r>
  <r>
    <n v="632"/>
    <x v="14"/>
    <s v="TXD-461"/>
    <x v="2"/>
    <d v="2015-06-09T00:00:00"/>
    <x v="0"/>
    <n v="281400"/>
    <x v="3"/>
  </r>
  <r>
    <n v="633"/>
    <x v="10"/>
    <s v="HSH-621"/>
    <x v="0"/>
    <d v="2015-06-16T00:00:00"/>
    <x v="1"/>
    <n v="360000"/>
    <x v="2"/>
  </r>
  <r>
    <n v="634"/>
    <x v="8"/>
    <s v="TVI-058"/>
    <x v="3"/>
    <d v="2015-06-12T00:00:00"/>
    <x v="1"/>
    <n v="251200"/>
    <x v="2"/>
  </r>
  <r>
    <n v="635"/>
    <x v="7"/>
    <s v="BSY-851"/>
    <x v="0"/>
    <d v="2015-06-16T00:00:00"/>
    <x v="1"/>
    <n v="274100"/>
    <x v="3"/>
  </r>
  <r>
    <n v="636"/>
    <x v="14"/>
    <s v="IGI-371"/>
    <x v="2"/>
    <d v="2015-06-23T00:00:00"/>
    <x v="1"/>
    <n v="255600"/>
    <x v="3"/>
  </r>
  <r>
    <n v="637"/>
    <x v="16"/>
    <s v="LFL-867"/>
    <x v="1"/>
    <d v="2015-06-27T00:00:00"/>
    <x v="1"/>
    <n v="381700"/>
    <x v="0"/>
  </r>
  <r>
    <n v="638"/>
    <x v="2"/>
    <s v="QAV-783"/>
    <x v="4"/>
    <d v="2015-06-29T00:00:00"/>
    <x v="0"/>
    <n v="247300"/>
    <x v="1"/>
  </r>
  <r>
    <n v="639"/>
    <x v="14"/>
    <s v="IGI-371"/>
    <x v="2"/>
    <d v="2015-07-05T00:00:00"/>
    <x v="1"/>
    <n v="240900"/>
    <x v="3"/>
  </r>
  <r>
    <n v="640"/>
    <x v="10"/>
    <s v="HSH-621"/>
    <x v="0"/>
    <d v="2015-07-06T00:00:00"/>
    <x v="1"/>
    <n v="279600"/>
    <x v="2"/>
  </r>
  <r>
    <n v="641"/>
    <x v="15"/>
    <s v="ZPQ-733"/>
    <x v="3"/>
    <d v="2015-07-02T00:00:00"/>
    <x v="1"/>
    <n v="247900"/>
    <x v="0"/>
  </r>
  <r>
    <n v="642"/>
    <x v="2"/>
    <s v="OGH-586"/>
    <x v="3"/>
    <d v="2015-07-03T00:00:00"/>
    <x v="1"/>
    <n v="290800"/>
    <x v="1"/>
  </r>
  <r>
    <n v="643"/>
    <x v="5"/>
    <s v="GQQ-394"/>
    <x v="0"/>
    <d v="2015-07-06T00:00:00"/>
    <x v="1"/>
    <n v="613700"/>
    <x v="3"/>
  </r>
  <r>
    <n v="644"/>
    <x v="7"/>
    <s v="MMJ-186"/>
    <x v="0"/>
    <d v="2015-07-10T00:00:00"/>
    <x v="1"/>
    <n v="244300"/>
    <x v="3"/>
  </r>
  <r>
    <n v="645"/>
    <x v="5"/>
    <s v="GGJ-297"/>
    <x v="1"/>
    <d v="2015-07-15T00:00:00"/>
    <x v="1"/>
    <n v="274800"/>
    <x v="0"/>
  </r>
  <r>
    <n v="646"/>
    <x v="14"/>
    <s v="TXD-461"/>
    <x v="2"/>
    <d v="2015-07-23T00:00:00"/>
    <x v="1"/>
    <n v="258600"/>
    <x v="3"/>
  </r>
  <r>
    <n v="647"/>
    <x v="7"/>
    <s v="MDL-513"/>
    <x v="4"/>
    <d v="2015-07-23T00:00:00"/>
    <x v="1"/>
    <n v="265400"/>
    <x v="2"/>
  </r>
  <r>
    <n v="648"/>
    <x v="1"/>
    <s v="UCU-590"/>
    <x v="1"/>
    <d v="2015-07-30T00:00:00"/>
    <x v="0"/>
    <n v="262700"/>
    <x v="1"/>
  </r>
  <r>
    <n v="649"/>
    <x v="4"/>
    <s v="IBY-325"/>
    <x v="0"/>
    <d v="2015-07-30T00:00:00"/>
    <x v="1"/>
    <n v="291100"/>
    <x v="0"/>
  </r>
  <r>
    <n v="650"/>
    <x v="10"/>
    <s v="LIG-440"/>
    <x v="1"/>
    <d v="2015-07-31T00:00:00"/>
    <x v="1"/>
    <n v="257800"/>
    <x v="3"/>
  </r>
  <r>
    <n v="651"/>
    <x v="10"/>
    <s v="JNV-031"/>
    <x v="3"/>
    <d v="2015-08-08T00:00:00"/>
    <x v="1"/>
    <n v="805800"/>
    <x v="3"/>
  </r>
  <r>
    <n v="652"/>
    <x v="16"/>
    <s v="SUX-856"/>
    <x v="4"/>
    <d v="2015-07-31T00:00:00"/>
    <x v="1"/>
    <n v="1010100"/>
    <x v="3"/>
  </r>
  <r>
    <n v="653"/>
    <x v="5"/>
    <s v="LCV-769"/>
    <x v="4"/>
    <d v="2015-07-31T00:00:00"/>
    <x v="1"/>
    <n v="852800"/>
    <x v="2"/>
  </r>
  <r>
    <n v="654"/>
    <x v="6"/>
    <s v="TGU-488"/>
    <x v="4"/>
    <d v="2015-08-06T00:00:00"/>
    <x v="1"/>
    <n v="271200"/>
    <x v="3"/>
  </r>
  <r>
    <n v="655"/>
    <x v="4"/>
    <s v="PLS-408"/>
    <x v="1"/>
    <d v="2015-08-11T00:00:00"/>
    <x v="1"/>
    <n v="305000"/>
    <x v="0"/>
  </r>
  <r>
    <n v="656"/>
    <x v="0"/>
    <s v="UYV-076"/>
    <x v="0"/>
    <d v="2015-08-10T00:00:00"/>
    <x v="1"/>
    <n v="689200"/>
    <x v="0"/>
  </r>
  <r>
    <n v="657"/>
    <x v="0"/>
    <s v="BUY-359"/>
    <x v="0"/>
    <d v="2015-08-10T00:00:00"/>
    <x v="1"/>
    <n v="494800"/>
    <x v="3"/>
  </r>
  <r>
    <n v="658"/>
    <x v="16"/>
    <s v="SUX-856"/>
    <x v="4"/>
    <d v="2015-08-10T00:00:00"/>
    <x v="1"/>
    <n v="251100"/>
    <x v="3"/>
  </r>
  <r>
    <n v="659"/>
    <x v="8"/>
    <s v="TVI-058"/>
    <x v="3"/>
    <d v="2015-08-15T00:00:00"/>
    <x v="0"/>
    <n v="468100"/>
    <x v="2"/>
  </r>
  <r>
    <n v="660"/>
    <x v="8"/>
    <s v="JSF-047"/>
    <x v="3"/>
    <d v="2015-08-16T00:00:00"/>
    <x v="0"/>
    <n v="429800"/>
    <x v="1"/>
  </r>
  <r>
    <n v="661"/>
    <x v="15"/>
    <s v="BND-497"/>
    <x v="4"/>
    <d v="2015-08-18T00:00:00"/>
    <x v="1"/>
    <n v="482500"/>
    <x v="2"/>
  </r>
  <r>
    <n v="662"/>
    <x v="5"/>
    <s v="HYZ-268"/>
    <x v="1"/>
    <d v="2015-08-22T00:00:00"/>
    <x v="0"/>
    <n v="443600"/>
    <x v="3"/>
  </r>
  <r>
    <n v="663"/>
    <x v="10"/>
    <s v="YSQ-468"/>
    <x v="4"/>
    <d v="2015-08-28T00:00:00"/>
    <x v="1"/>
    <n v="492500"/>
    <x v="2"/>
  </r>
  <r>
    <n v="664"/>
    <x v="10"/>
    <s v="HSH-621"/>
    <x v="0"/>
    <d v="2015-09-12T00:00:00"/>
    <x v="1"/>
    <n v="261500"/>
    <x v="2"/>
  </r>
  <r>
    <n v="665"/>
    <x v="12"/>
    <s v="LBX-793"/>
    <x v="4"/>
    <d v="2015-09-10T00:00:00"/>
    <x v="1"/>
    <n v="284400"/>
    <x v="3"/>
  </r>
  <r>
    <n v="666"/>
    <x v="9"/>
    <s v="BSB-354"/>
    <x v="4"/>
    <d v="2015-09-13T00:00:00"/>
    <x v="1"/>
    <n v="299900"/>
    <x v="2"/>
  </r>
  <r>
    <n v="667"/>
    <x v="8"/>
    <s v="YUF-368"/>
    <x v="0"/>
    <d v="2015-09-15T00:00:00"/>
    <x v="1"/>
    <n v="270700"/>
    <x v="1"/>
  </r>
  <r>
    <n v="668"/>
    <x v="15"/>
    <s v="ZPQ-733"/>
    <x v="3"/>
    <d v="2015-09-10T00:00:00"/>
    <x v="0"/>
    <n v="262000"/>
    <x v="0"/>
  </r>
  <r>
    <n v="669"/>
    <x v="4"/>
    <s v="IBY-325"/>
    <x v="0"/>
    <d v="2015-09-12T00:00:00"/>
    <x v="0"/>
    <n v="422700"/>
    <x v="0"/>
  </r>
  <r>
    <n v="670"/>
    <x v="6"/>
    <s v="PIX-002"/>
    <x v="1"/>
    <d v="2015-09-15T00:00:00"/>
    <x v="0"/>
    <n v="240000"/>
    <x v="0"/>
  </r>
  <r>
    <n v="671"/>
    <x v="7"/>
    <s v="MMJ-186"/>
    <x v="0"/>
    <d v="2015-09-14T00:00:00"/>
    <x v="1"/>
    <n v="661400"/>
    <x v="3"/>
  </r>
  <r>
    <n v="672"/>
    <x v="9"/>
    <s v="EKR-064"/>
    <x v="4"/>
    <d v="2015-09-19T00:00:00"/>
    <x v="0"/>
    <n v="743900"/>
    <x v="1"/>
  </r>
  <r>
    <n v="673"/>
    <x v="0"/>
    <s v="UYV-076"/>
    <x v="0"/>
    <d v="2015-09-23T00:00:00"/>
    <x v="0"/>
    <n v="253700"/>
    <x v="0"/>
  </r>
  <r>
    <n v="674"/>
    <x v="10"/>
    <s v="URR-404"/>
    <x v="1"/>
    <d v="2015-09-25T00:00:00"/>
    <x v="1"/>
    <n v="257500"/>
    <x v="1"/>
  </r>
  <r>
    <n v="675"/>
    <x v="16"/>
    <s v="NAX-299"/>
    <x v="4"/>
    <d v="2015-10-07T00:00:00"/>
    <x v="0"/>
    <n v="1077100"/>
    <x v="1"/>
  </r>
  <r>
    <n v="676"/>
    <x v="6"/>
    <s v="AKD-565"/>
    <x v="0"/>
    <d v="2015-10-12T00:00:00"/>
    <x v="1"/>
    <n v="456500"/>
    <x v="0"/>
  </r>
  <r>
    <n v="677"/>
    <x v="5"/>
    <s v="LCV-769"/>
    <x v="4"/>
    <d v="2015-10-13T00:00:00"/>
    <x v="1"/>
    <n v="650600"/>
    <x v="2"/>
  </r>
  <r>
    <n v="678"/>
    <x v="5"/>
    <s v="RHL-469"/>
    <x v="0"/>
    <d v="2015-10-16T00:00:00"/>
    <x v="0"/>
    <n v="292400"/>
    <x v="2"/>
  </r>
  <r>
    <n v="679"/>
    <x v="10"/>
    <s v="JNV-031"/>
    <x v="3"/>
    <d v="2015-10-25T00:00:00"/>
    <x v="1"/>
    <n v="292500"/>
    <x v="3"/>
  </r>
  <r>
    <n v="680"/>
    <x v="2"/>
    <s v="MPI-909"/>
    <x v="1"/>
    <d v="2015-10-24T00:00:00"/>
    <x v="1"/>
    <n v="364500"/>
    <x v="0"/>
  </r>
  <r>
    <n v="681"/>
    <x v="0"/>
    <s v="APD-659"/>
    <x v="3"/>
    <d v="2015-10-22T00:00:00"/>
    <x v="1"/>
    <n v="248200"/>
    <x v="2"/>
  </r>
  <r>
    <n v="682"/>
    <x v="4"/>
    <s v="AAW-520"/>
    <x v="4"/>
    <d v="2015-10-16T00:00:00"/>
    <x v="1"/>
    <n v="286300"/>
    <x v="1"/>
  </r>
  <r>
    <n v="683"/>
    <x v="16"/>
    <s v="SUX-856"/>
    <x v="4"/>
    <d v="2015-10-29T00:00:00"/>
    <x v="0"/>
    <n v="246900"/>
    <x v="3"/>
  </r>
  <r>
    <n v="684"/>
    <x v="9"/>
    <s v="BSB-354"/>
    <x v="4"/>
    <d v="2015-10-21T00:00:00"/>
    <x v="0"/>
    <n v="296800"/>
    <x v="2"/>
  </r>
  <r>
    <n v="685"/>
    <x v="16"/>
    <s v="NAX-299"/>
    <x v="4"/>
    <d v="2015-10-31T00:00:00"/>
    <x v="1"/>
    <n v="433700"/>
    <x v="1"/>
  </r>
  <r>
    <n v="686"/>
    <x v="12"/>
    <s v="ECQ-692"/>
    <x v="0"/>
    <d v="2015-10-26T00:00:00"/>
    <x v="1"/>
    <n v="255100"/>
    <x v="2"/>
  </r>
  <r>
    <n v="687"/>
    <x v="3"/>
    <s v="BHQ-473"/>
    <x v="2"/>
    <d v="2015-10-31T00:00:00"/>
    <x v="1"/>
    <n v="263700"/>
    <x v="2"/>
  </r>
  <r>
    <n v="688"/>
    <x v="0"/>
    <s v="APD-659"/>
    <x v="3"/>
    <d v="2015-11-03T00:00:00"/>
    <x v="1"/>
    <n v="451700"/>
    <x v="2"/>
  </r>
  <r>
    <n v="689"/>
    <x v="13"/>
    <s v="JMS-051"/>
    <x v="2"/>
    <d v="2015-12-01T00:00:00"/>
    <x v="0"/>
    <n v="418000"/>
    <x v="0"/>
  </r>
  <r>
    <n v="690"/>
    <x v="6"/>
    <s v="KEB-400"/>
    <x v="0"/>
    <d v="2015-12-02T00:00:00"/>
    <x v="0"/>
    <n v="266600"/>
    <x v="2"/>
  </r>
  <r>
    <n v="691"/>
    <x v="4"/>
    <s v="HPA-704"/>
    <x v="3"/>
    <d v="2015-12-14T00:00:00"/>
    <x v="1"/>
    <n v="290000"/>
    <x v="0"/>
  </r>
  <r>
    <n v="692"/>
    <x v="2"/>
    <s v="MPI-909"/>
    <x v="1"/>
    <d v="2015-12-07T00:00:00"/>
    <x v="1"/>
    <n v="241900"/>
    <x v="0"/>
  </r>
  <r>
    <n v="693"/>
    <x v="5"/>
    <s v="GQQ-394"/>
    <x v="0"/>
    <d v="2015-12-16T00:00:00"/>
    <x v="1"/>
    <n v="251100"/>
    <x v="3"/>
  </r>
  <r>
    <n v="694"/>
    <x v="12"/>
    <s v="KSE-971"/>
    <x v="0"/>
    <d v="2015-12-12T00:00:00"/>
    <x v="0"/>
    <n v="445200"/>
    <x v="1"/>
  </r>
  <r>
    <n v="695"/>
    <x v="8"/>
    <s v="JSF-047"/>
    <x v="3"/>
    <d v="2015-12-16T00:00:00"/>
    <x v="1"/>
    <n v="447500"/>
    <x v="1"/>
  </r>
  <r>
    <n v="696"/>
    <x v="12"/>
    <s v="KSE-971"/>
    <x v="0"/>
    <d v="2015-12-28T00:00:00"/>
    <x v="0"/>
    <n v="294500"/>
    <x v="1"/>
  </r>
  <r>
    <n v="697"/>
    <x v="10"/>
    <s v="ZTS-446"/>
    <x v="1"/>
    <d v="2015-12-29T00:00:00"/>
    <x v="1"/>
    <n v="464100"/>
    <x v="3"/>
  </r>
  <r>
    <n v="698"/>
    <x v="3"/>
    <s v="HBE-391"/>
    <x v="2"/>
    <d v="2016-01-06T00:00:00"/>
    <x v="1"/>
    <n v="295300"/>
    <x v="1"/>
  </r>
  <r>
    <n v="699"/>
    <x v="6"/>
    <s v="QLT-781"/>
    <x v="0"/>
    <d v="2016-01-03T00:00:00"/>
    <x v="1"/>
    <n v="485200"/>
    <x v="0"/>
  </r>
  <r>
    <n v="700"/>
    <x v="6"/>
    <s v="AKD-565"/>
    <x v="0"/>
    <d v="2016-01-11T00:00:00"/>
    <x v="1"/>
    <n v="239600"/>
    <x v="0"/>
  </r>
  <r>
    <n v="701"/>
    <x v="16"/>
    <s v="NAX-299"/>
    <x v="4"/>
    <d v="2016-01-06T00:00:00"/>
    <x v="1"/>
    <n v="269800"/>
    <x v="1"/>
  </r>
  <r>
    <n v="702"/>
    <x v="12"/>
    <s v="WLK-100"/>
    <x v="0"/>
    <d v="2016-01-23T00:00:00"/>
    <x v="1"/>
    <n v="287900"/>
    <x v="1"/>
  </r>
  <r>
    <n v="703"/>
    <x v="7"/>
    <s v="IMI-566"/>
    <x v="1"/>
    <d v="2016-01-19T00:00:00"/>
    <x v="0"/>
    <n v="237300"/>
    <x v="2"/>
  </r>
  <r>
    <n v="704"/>
    <x v="5"/>
    <s v="LCV-769"/>
    <x v="4"/>
    <d v="2016-01-20T00:00:00"/>
    <x v="1"/>
    <n v="297600"/>
    <x v="2"/>
  </r>
  <r>
    <n v="705"/>
    <x v="5"/>
    <s v="GQQ-394"/>
    <x v="0"/>
    <d v="2016-01-26T00:00:00"/>
    <x v="0"/>
    <n v="287800"/>
    <x v="3"/>
  </r>
  <r>
    <n v="706"/>
    <x v="10"/>
    <s v="URR-404"/>
    <x v="1"/>
    <d v="2016-01-29T00:00:00"/>
    <x v="1"/>
    <n v="648000"/>
    <x v="1"/>
  </r>
  <r>
    <n v="707"/>
    <x v="12"/>
    <s v="KSE-971"/>
    <x v="0"/>
    <d v="2016-01-30T00:00:00"/>
    <x v="0"/>
    <n v="277400"/>
    <x v="1"/>
  </r>
  <r>
    <n v="708"/>
    <x v="2"/>
    <s v="QAV-783"/>
    <x v="4"/>
    <d v="2016-01-27T00:00:00"/>
    <x v="0"/>
    <n v="276100"/>
    <x v="1"/>
  </r>
  <r>
    <n v="709"/>
    <x v="12"/>
    <s v="WLK-100"/>
    <x v="0"/>
    <d v="2016-01-30T00:00:00"/>
    <x v="1"/>
    <n v="261700"/>
    <x v="1"/>
  </r>
  <r>
    <n v="710"/>
    <x v="11"/>
    <s v="WEZ-675"/>
    <x v="2"/>
    <d v="2016-02-05T00:00:00"/>
    <x v="0"/>
    <n v="660900"/>
    <x v="3"/>
  </r>
  <r>
    <n v="711"/>
    <x v="12"/>
    <s v="LBX-793"/>
    <x v="4"/>
    <d v="2016-02-04T00:00:00"/>
    <x v="1"/>
    <n v="245500"/>
    <x v="3"/>
  </r>
  <r>
    <n v="712"/>
    <x v="4"/>
    <s v="HPA-704"/>
    <x v="3"/>
    <d v="2016-02-11T00:00:00"/>
    <x v="1"/>
    <n v="424500"/>
    <x v="0"/>
  </r>
  <r>
    <n v="713"/>
    <x v="5"/>
    <s v="TMH-386"/>
    <x v="1"/>
    <d v="2016-02-08T00:00:00"/>
    <x v="0"/>
    <n v="277900"/>
    <x v="1"/>
  </r>
  <r>
    <n v="714"/>
    <x v="10"/>
    <s v="ZTS-446"/>
    <x v="1"/>
    <d v="2016-02-15T00:00:00"/>
    <x v="1"/>
    <n v="350200"/>
    <x v="3"/>
  </r>
  <r>
    <n v="715"/>
    <x v="2"/>
    <s v="OGH-586"/>
    <x v="3"/>
    <d v="2016-02-23T00:00:00"/>
    <x v="0"/>
    <n v="270300"/>
    <x v="1"/>
  </r>
  <r>
    <n v="716"/>
    <x v="10"/>
    <s v="HSH-621"/>
    <x v="0"/>
    <d v="2016-02-21T00:00:00"/>
    <x v="1"/>
    <n v="278100"/>
    <x v="2"/>
  </r>
  <r>
    <n v="717"/>
    <x v="4"/>
    <s v="HPA-704"/>
    <x v="3"/>
    <d v="2016-02-28T00:00:00"/>
    <x v="0"/>
    <n v="268400"/>
    <x v="0"/>
  </r>
  <r>
    <n v="718"/>
    <x v="5"/>
    <s v="LCV-769"/>
    <x v="4"/>
    <d v="2016-02-26T00:00:00"/>
    <x v="1"/>
    <n v="236500"/>
    <x v="2"/>
  </r>
  <r>
    <n v="719"/>
    <x v="6"/>
    <s v="FNJ-604"/>
    <x v="1"/>
    <d v="2016-03-10T00:00:00"/>
    <x v="1"/>
    <n v="645900"/>
    <x v="3"/>
  </r>
  <r>
    <n v="720"/>
    <x v="12"/>
    <s v="LBX-793"/>
    <x v="4"/>
    <d v="2016-03-07T00:00:00"/>
    <x v="1"/>
    <n v="335800"/>
    <x v="3"/>
  </r>
  <r>
    <n v="721"/>
    <x v="6"/>
    <s v="KEB-400"/>
    <x v="0"/>
    <d v="2016-03-12T00:00:00"/>
    <x v="1"/>
    <n v="278000"/>
    <x v="2"/>
  </r>
  <r>
    <n v="722"/>
    <x v="0"/>
    <s v="BUY-359"/>
    <x v="0"/>
    <d v="2016-03-18T00:00:00"/>
    <x v="1"/>
    <n v="257600"/>
    <x v="3"/>
  </r>
  <r>
    <n v="723"/>
    <x v="5"/>
    <s v="GQQ-394"/>
    <x v="0"/>
    <d v="2016-04-03T00:00:00"/>
    <x v="1"/>
    <n v="247400"/>
    <x v="3"/>
  </r>
  <r>
    <n v="724"/>
    <x v="9"/>
    <s v="EKR-064"/>
    <x v="4"/>
    <d v="2016-04-09T00:00:00"/>
    <x v="1"/>
    <n v="267500"/>
    <x v="1"/>
  </r>
  <r>
    <n v="725"/>
    <x v="16"/>
    <s v="LFL-867"/>
    <x v="1"/>
    <d v="2016-04-09T00:00:00"/>
    <x v="1"/>
    <n v="433100"/>
    <x v="0"/>
  </r>
  <r>
    <n v="726"/>
    <x v="7"/>
    <s v="MMJ-186"/>
    <x v="0"/>
    <d v="2016-04-20T00:00:00"/>
    <x v="1"/>
    <n v="241400"/>
    <x v="3"/>
  </r>
  <r>
    <n v="727"/>
    <x v="6"/>
    <s v="PIX-002"/>
    <x v="1"/>
    <d v="2016-04-22T00:00:00"/>
    <x v="1"/>
    <n v="262400"/>
    <x v="0"/>
  </r>
  <r>
    <n v="728"/>
    <x v="1"/>
    <s v="SMU-668"/>
    <x v="0"/>
    <d v="2016-04-23T00:00:00"/>
    <x v="0"/>
    <n v="269400"/>
    <x v="2"/>
  </r>
  <r>
    <n v="729"/>
    <x v="10"/>
    <s v="JNV-031"/>
    <x v="3"/>
    <d v="2016-04-30T00:00:00"/>
    <x v="0"/>
    <n v="423300"/>
    <x v="3"/>
  </r>
  <r>
    <n v="730"/>
    <x v="5"/>
    <s v="GQQ-394"/>
    <x v="0"/>
    <d v="2016-05-07T00:00:00"/>
    <x v="0"/>
    <n v="253100"/>
    <x v="3"/>
  </r>
  <r>
    <n v="731"/>
    <x v="10"/>
    <s v="YSQ-468"/>
    <x v="4"/>
    <d v="2016-05-04T00:00:00"/>
    <x v="1"/>
    <n v="293400"/>
    <x v="2"/>
  </r>
  <r>
    <n v="732"/>
    <x v="16"/>
    <s v="LFL-867"/>
    <x v="1"/>
    <d v="2016-05-08T00:00:00"/>
    <x v="1"/>
    <n v="264800"/>
    <x v="0"/>
  </r>
  <r>
    <n v="733"/>
    <x v="5"/>
    <s v="LCV-769"/>
    <x v="4"/>
    <d v="2016-05-01T00:00:00"/>
    <x v="1"/>
    <n v="310000"/>
    <x v="2"/>
  </r>
  <r>
    <n v="734"/>
    <x v="4"/>
    <s v="AAW-520"/>
    <x v="4"/>
    <d v="2016-05-12T00:00:00"/>
    <x v="1"/>
    <n v="284900"/>
    <x v="1"/>
  </r>
  <r>
    <n v="735"/>
    <x v="6"/>
    <s v="AKD-565"/>
    <x v="0"/>
    <d v="2016-05-12T00:00:00"/>
    <x v="0"/>
    <n v="295500"/>
    <x v="0"/>
  </r>
  <r>
    <n v="736"/>
    <x v="12"/>
    <s v="KSE-971"/>
    <x v="0"/>
    <d v="2016-05-14T00:00:00"/>
    <x v="1"/>
    <n v="719000"/>
    <x v="1"/>
  </r>
  <r>
    <n v="737"/>
    <x v="12"/>
    <s v="IXP-392"/>
    <x v="0"/>
    <d v="2016-05-22T00:00:00"/>
    <x v="1"/>
    <n v="265900"/>
    <x v="1"/>
  </r>
  <r>
    <n v="738"/>
    <x v="7"/>
    <s v="MDL-513"/>
    <x v="4"/>
    <d v="2016-05-19T00:00:00"/>
    <x v="1"/>
    <n v="449100"/>
    <x v="2"/>
  </r>
  <r>
    <n v="739"/>
    <x v="2"/>
    <s v="MPI-909"/>
    <x v="1"/>
    <d v="2016-05-21T00:00:00"/>
    <x v="1"/>
    <n v="323400"/>
    <x v="0"/>
  </r>
  <r>
    <n v="740"/>
    <x v="7"/>
    <s v="IMI-566"/>
    <x v="1"/>
    <d v="2016-05-31T00:00:00"/>
    <x v="0"/>
    <n v="252900"/>
    <x v="2"/>
  </r>
  <r>
    <n v="741"/>
    <x v="2"/>
    <s v="OGH-586"/>
    <x v="3"/>
    <d v="2016-06-05T00:00:00"/>
    <x v="1"/>
    <n v="318300"/>
    <x v="1"/>
  </r>
  <r>
    <n v="742"/>
    <x v="4"/>
    <s v="XIE-101"/>
    <x v="1"/>
    <d v="2016-06-09T00:00:00"/>
    <x v="1"/>
    <n v="433000"/>
    <x v="2"/>
  </r>
  <r>
    <n v="743"/>
    <x v="7"/>
    <s v="LAD-215"/>
    <x v="0"/>
    <d v="2016-06-06T00:00:00"/>
    <x v="1"/>
    <n v="398400"/>
    <x v="1"/>
  </r>
  <r>
    <n v="744"/>
    <x v="17"/>
    <s v="IGX-960"/>
    <x v="1"/>
    <d v="2016-06-09T00:00:00"/>
    <x v="0"/>
    <n v="247200"/>
    <x v="2"/>
  </r>
  <r>
    <n v="745"/>
    <x v="6"/>
    <s v="PIX-002"/>
    <x v="1"/>
    <d v="2016-06-22T00:00:00"/>
    <x v="0"/>
    <n v="299200"/>
    <x v="0"/>
  </r>
  <r>
    <n v="746"/>
    <x v="2"/>
    <s v="IRF-014"/>
    <x v="0"/>
    <d v="2016-06-22T00:00:00"/>
    <x v="1"/>
    <n v="771700"/>
    <x v="1"/>
  </r>
  <r>
    <n v="747"/>
    <x v="12"/>
    <s v="ECQ-692"/>
    <x v="0"/>
    <d v="2016-07-01T00:00:00"/>
    <x v="1"/>
    <n v="255000"/>
    <x v="2"/>
  </r>
  <r>
    <n v="748"/>
    <x v="15"/>
    <s v="BND-497"/>
    <x v="4"/>
    <d v="2016-06-28T00:00:00"/>
    <x v="0"/>
    <n v="271000"/>
    <x v="2"/>
  </r>
  <r>
    <n v="749"/>
    <x v="9"/>
    <s v="HOX-539"/>
    <x v="4"/>
    <d v="2016-06-30T00:00:00"/>
    <x v="1"/>
    <n v="444300"/>
    <x v="1"/>
  </r>
  <r>
    <n v="750"/>
    <x v="6"/>
    <s v="TGU-488"/>
    <x v="4"/>
    <d v="2016-07-04T00:00:00"/>
    <x v="0"/>
    <n v="617100"/>
    <x v="3"/>
  </r>
  <r>
    <n v="751"/>
    <x v="3"/>
    <s v="BHQ-473"/>
    <x v="2"/>
    <d v="2016-07-06T00:00:00"/>
    <x v="0"/>
    <n v="316800"/>
    <x v="2"/>
  </r>
  <r>
    <n v="752"/>
    <x v="1"/>
    <s v="SMU-668"/>
    <x v="0"/>
    <d v="2016-06-28T00:00:00"/>
    <x v="1"/>
    <n v="272300"/>
    <x v="2"/>
  </r>
  <r>
    <n v="753"/>
    <x v="5"/>
    <s v="TMH-386"/>
    <x v="1"/>
    <d v="2016-07-07T00:00:00"/>
    <x v="1"/>
    <n v="265400"/>
    <x v="1"/>
  </r>
  <r>
    <n v="754"/>
    <x v="0"/>
    <s v="UYV-076"/>
    <x v="0"/>
    <d v="2016-07-08T00:00:00"/>
    <x v="1"/>
    <n v="282400"/>
    <x v="0"/>
  </r>
  <r>
    <n v="755"/>
    <x v="12"/>
    <s v="WLK-100"/>
    <x v="0"/>
    <d v="2016-07-14T00:00:00"/>
    <x v="0"/>
    <n v="254500"/>
    <x v="1"/>
  </r>
  <r>
    <n v="756"/>
    <x v="0"/>
    <s v="ECO-657"/>
    <x v="0"/>
    <d v="2016-07-16T00:00:00"/>
    <x v="1"/>
    <n v="252500"/>
    <x v="2"/>
  </r>
  <r>
    <n v="757"/>
    <x v="7"/>
    <s v="LAD-215"/>
    <x v="0"/>
    <d v="2016-07-20T00:00:00"/>
    <x v="1"/>
    <n v="308000"/>
    <x v="1"/>
  </r>
  <r>
    <n v="758"/>
    <x v="4"/>
    <s v="AAW-520"/>
    <x v="4"/>
    <d v="2016-07-24T00:00:00"/>
    <x v="0"/>
    <n v="290200"/>
    <x v="1"/>
  </r>
  <r>
    <n v="759"/>
    <x v="12"/>
    <s v="LBX-793"/>
    <x v="4"/>
    <d v="2016-07-25T00:00:00"/>
    <x v="0"/>
    <n v="613700"/>
    <x v="3"/>
  </r>
  <r>
    <n v="760"/>
    <x v="7"/>
    <s v="LAD-215"/>
    <x v="0"/>
    <d v="2016-08-06T00:00:00"/>
    <x v="0"/>
    <n v="238100"/>
    <x v="1"/>
  </r>
  <r>
    <n v="761"/>
    <x v="8"/>
    <s v="JSF-047"/>
    <x v="3"/>
    <d v="2016-08-12T00:00:00"/>
    <x v="1"/>
    <n v="284700"/>
    <x v="1"/>
  </r>
  <r>
    <n v="762"/>
    <x v="8"/>
    <s v="NCG-044"/>
    <x v="0"/>
    <d v="2016-08-10T00:00:00"/>
    <x v="1"/>
    <n v="674300"/>
    <x v="1"/>
  </r>
  <r>
    <n v="763"/>
    <x v="7"/>
    <s v="MMJ-186"/>
    <x v="0"/>
    <d v="2016-08-20T00:00:00"/>
    <x v="1"/>
    <n v="271600"/>
    <x v="3"/>
  </r>
  <r>
    <n v="764"/>
    <x v="0"/>
    <s v="UYV-076"/>
    <x v="0"/>
    <d v="2016-08-27T00:00:00"/>
    <x v="1"/>
    <n v="280700"/>
    <x v="0"/>
  </r>
  <r>
    <n v="765"/>
    <x v="0"/>
    <s v="BUY-359"/>
    <x v="0"/>
    <d v="2016-08-27T00:00:00"/>
    <x v="1"/>
    <n v="356100"/>
    <x v="3"/>
  </r>
  <r>
    <n v="766"/>
    <x v="13"/>
    <s v="JMS-051"/>
    <x v="2"/>
    <d v="2016-09-06T00:00:00"/>
    <x v="1"/>
    <n v="282100"/>
    <x v="0"/>
  </r>
  <r>
    <n v="767"/>
    <x v="10"/>
    <s v="ZTS-446"/>
    <x v="1"/>
    <d v="2016-09-09T00:00:00"/>
    <x v="0"/>
    <n v="251100"/>
    <x v="3"/>
  </r>
  <r>
    <n v="768"/>
    <x v="8"/>
    <s v="NCG-044"/>
    <x v="0"/>
    <d v="2016-09-12T00:00:00"/>
    <x v="0"/>
    <n v="1054600"/>
    <x v="1"/>
  </r>
  <r>
    <n v="769"/>
    <x v="8"/>
    <s v="JSF-047"/>
    <x v="3"/>
    <d v="2016-09-17T00:00:00"/>
    <x v="1"/>
    <n v="245700"/>
    <x v="1"/>
  </r>
  <r>
    <n v="770"/>
    <x v="9"/>
    <s v="EKR-064"/>
    <x v="4"/>
    <d v="2016-09-14T00:00:00"/>
    <x v="0"/>
    <n v="906100"/>
    <x v="1"/>
  </r>
  <r>
    <n v="771"/>
    <x v="6"/>
    <s v="TGU-488"/>
    <x v="4"/>
    <d v="2016-09-20T00:00:00"/>
    <x v="1"/>
    <n v="433100"/>
    <x v="3"/>
  </r>
  <r>
    <n v="772"/>
    <x v="15"/>
    <s v="ZPQ-733"/>
    <x v="3"/>
    <d v="2016-09-21T00:00:00"/>
    <x v="0"/>
    <n v="273700"/>
    <x v="0"/>
  </r>
  <r>
    <n v="773"/>
    <x v="15"/>
    <s v="BND-497"/>
    <x v="4"/>
    <d v="2016-09-21T00:00:00"/>
    <x v="1"/>
    <n v="256900"/>
    <x v="2"/>
  </r>
  <r>
    <n v="774"/>
    <x v="10"/>
    <s v="JNV-031"/>
    <x v="3"/>
    <d v="2016-09-27T00:00:00"/>
    <x v="0"/>
    <n v="402000"/>
    <x v="3"/>
  </r>
  <r>
    <n v="775"/>
    <x v="8"/>
    <s v="NCG-044"/>
    <x v="0"/>
    <d v="2016-09-28T00:00:00"/>
    <x v="0"/>
    <n v="269300"/>
    <x v="1"/>
  </r>
  <r>
    <n v="776"/>
    <x v="9"/>
    <s v="BSB-354"/>
    <x v="4"/>
    <d v="2016-10-11T00:00:00"/>
    <x v="1"/>
    <n v="458600"/>
    <x v="2"/>
  </r>
  <r>
    <n v="777"/>
    <x v="17"/>
    <s v="THS-050"/>
    <x v="4"/>
    <d v="2016-10-09T00:00:00"/>
    <x v="0"/>
    <n v="241600"/>
    <x v="0"/>
  </r>
  <r>
    <n v="778"/>
    <x v="1"/>
    <s v="UCU-590"/>
    <x v="1"/>
    <d v="2016-10-11T00:00:00"/>
    <x v="1"/>
    <n v="491400"/>
    <x v="1"/>
  </r>
  <r>
    <n v="779"/>
    <x v="4"/>
    <s v="AAW-520"/>
    <x v="4"/>
    <d v="2016-10-12T00:00:00"/>
    <x v="1"/>
    <n v="253400"/>
    <x v="1"/>
  </r>
  <r>
    <n v="780"/>
    <x v="0"/>
    <s v="APD-659"/>
    <x v="3"/>
    <d v="2016-10-18T00:00:00"/>
    <x v="0"/>
    <n v="298700"/>
    <x v="2"/>
  </r>
  <r>
    <n v="781"/>
    <x v="12"/>
    <s v="RYN-380"/>
    <x v="1"/>
    <d v="2016-10-25T00:00:00"/>
    <x v="0"/>
    <n v="258500"/>
    <x v="0"/>
  </r>
  <r>
    <n v="782"/>
    <x v="0"/>
    <s v="APD-659"/>
    <x v="3"/>
    <d v="2016-10-23T00:00:00"/>
    <x v="1"/>
    <n v="291900"/>
    <x v="2"/>
  </r>
  <r>
    <n v="783"/>
    <x v="6"/>
    <s v="QLT-781"/>
    <x v="0"/>
    <d v="2016-10-28T00:00:00"/>
    <x v="1"/>
    <n v="248000"/>
    <x v="0"/>
  </r>
  <r>
    <n v="784"/>
    <x v="14"/>
    <s v="TXD-461"/>
    <x v="2"/>
    <d v="2016-10-25T00:00:00"/>
    <x v="0"/>
    <n v="288900"/>
    <x v="3"/>
  </r>
  <r>
    <n v="785"/>
    <x v="3"/>
    <s v="HBE-391"/>
    <x v="2"/>
    <d v="2016-10-30T00:00:00"/>
    <x v="1"/>
    <n v="280000"/>
    <x v="1"/>
  </r>
  <r>
    <n v="786"/>
    <x v="12"/>
    <s v="WLK-100"/>
    <x v="0"/>
    <d v="2016-11-03T00:00:00"/>
    <x v="1"/>
    <n v="852700"/>
    <x v="1"/>
  </r>
  <r>
    <n v="787"/>
    <x v="7"/>
    <s v="MDL-513"/>
    <x v="4"/>
    <d v="2016-11-15T00:00:00"/>
    <x v="0"/>
    <n v="329100"/>
    <x v="2"/>
  </r>
  <r>
    <n v="788"/>
    <x v="7"/>
    <s v="IMI-566"/>
    <x v="1"/>
    <d v="2016-11-16T00:00:00"/>
    <x v="1"/>
    <n v="256000"/>
    <x v="2"/>
  </r>
  <r>
    <n v="789"/>
    <x v="9"/>
    <s v="BSB-354"/>
    <x v="4"/>
    <d v="2016-11-15T00:00:00"/>
    <x v="1"/>
    <n v="858300"/>
    <x v="2"/>
  </r>
  <r>
    <n v="790"/>
    <x v="12"/>
    <s v="KSE-971"/>
    <x v="0"/>
    <d v="2016-11-24T00:00:00"/>
    <x v="1"/>
    <n v="280700"/>
    <x v="1"/>
  </r>
  <r>
    <n v="791"/>
    <x v="17"/>
    <s v="IGX-960"/>
    <x v="1"/>
    <d v="2016-11-30T00:00:00"/>
    <x v="1"/>
    <n v="815500"/>
    <x v="2"/>
  </r>
  <r>
    <n v="792"/>
    <x v="6"/>
    <s v="TGU-488"/>
    <x v="4"/>
    <d v="2016-12-06T00:00:00"/>
    <x v="1"/>
    <n v="439500"/>
    <x v="3"/>
  </r>
  <r>
    <n v="793"/>
    <x v="0"/>
    <s v="BEH-120"/>
    <x v="3"/>
    <d v="2016-12-08T00:00:00"/>
    <x v="1"/>
    <n v="896600"/>
    <x v="0"/>
  </r>
  <r>
    <n v="794"/>
    <x v="3"/>
    <s v="HBE-391"/>
    <x v="2"/>
    <d v="2016-12-06T00:00:00"/>
    <x v="1"/>
    <n v="262100"/>
    <x v="1"/>
  </r>
  <r>
    <n v="795"/>
    <x v="12"/>
    <s v="LBX-793"/>
    <x v="4"/>
    <d v="2016-12-07T00:00:00"/>
    <x v="1"/>
    <n v="275900"/>
    <x v="3"/>
  </r>
  <r>
    <n v="796"/>
    <x v="8"/>
    <s v="TVI-058"/>
    <x v="3"/>
    <d v="2016-12-16T00:00:00"/>
    <x v="1"/>
    <n v="255800"/>
    <x v="2"/>
  </r>
  <r>
    <n v="797"/>
    <x v="6"/>
    <s v="KEB-400"/>
    <x v="0"/>
    <d v="2016-12-14T00:00:00"/>
    <x v="0"/>
    <n v="602900"/>
    <x v="2"/>
  </r>
  <r>
    <n v="798"/>
    <x v="14"/>
    <s v="TXD-461"/>
    <x v="2"/>
    <d v="2016-12-16T00:00:00"/>
    <x v="1"/>
    <n v="1025300"/>
    <x v="3"/>
  </r>
  <r>
    <n v="799"/>
    <x v="16"/>
    <s v="SUX-856"/>
    <x v="4"/>
    <d v="2016-12-13T00:00:00"/>
    <x v="0"/>
    <n v="666300"/>
    <x v="3"/>
  </r>
  <r>
    <n v="800"/>
    <x v="6"/>
    <s v="PIX-002"/>
    <x v="1"/>
    <d v="2016-12-21T00:00:00"/>
    <x v="1"/>
    <n v="414000"/>
    <x v="0"/>
  </r>
  <r>
    <n v="801"/>
    <x v="5"/>
    <s v="LCV-769"/>
    <x v="4"/>
    <d v="2016-12-18T00:00:00"/>
    <x v="0"/>
    <n v="278000"/>
    <x v="2"/>
  </r>
  <r>
    <n v="802"/>
    <x v="15"/>
    <s v="ZPQ-733"/>
    <x v="3"/>
    <d v="2016-12-23T00:00:00"/>
    <x v="1"/>
    <n v="258000"/>
    <x v="0"/>
  </r>
  <r>
    <n v="803"/>
    <x v="16"/>
    <s v="NAX-299"/>
    <x v="4"/>
    <d v="2016-12-20T00:00:00"/>
    <x v="1"/>
    <n v="608300"/>
    <x v="1"/>
  </r>
  <r>
    <n v="804"/>
    <x v="6"/>
    <s v="FNJ-604"/>
    <x v="1"/>
    <d v="2017-01-05T00:00:00"/>
    <x v="0"/>
    <n v="256100"/>
    <x v="3"/>
  </r>
  <r>
    <n v="805"/>
    <x v="0"/>
    <s v="BUY-359"/>
    <x v="0"/>
    <d v="2017-01-12T00:00:00"/>
    <x v="0"/>
    <n v="239200"/>
    <x v="3"/>
  </r>
  <r>
    <n v="806"/>
    <x v="1"/>
    <s v="UCU-590"/>
    <x v="1"/>
    <d v="2017-01-08T00:00:00"/>
    <x v="1"/>
    <n v="265000"/>
    <x v="1"/>
  </r>
  <r>
    <n v="807"/>
    <x v="4"/>
    <s v="AAW-520"/>
    <x v="4"/>
    <d v="2017-01-08T00:00:00"/>
    <x v="1"/>
    <n v="290700"/>
    <x v="1"/>
  </r>
  <r>
    <n v="808"/>
    <x v="12"/>
    <s v="IXP-392"/>
    <x v="0"/>
    <d v="2017-01-18T00:00:00"/>
    <x v="1"/>
    <n v="298100"/>
    <x v="1"/>
  </r>
  <r>
    <n v="809"/>
    <x v="5"/>
    <s v="GGJ-297"/>
    <x v="1"/>
    <d v="2017-01-20T00:00:00"/>
    <x v="1"/>
    <n v="287600"/>
    <x v="0"/>
  </r>
  <r>
    <n v="810"/>
    <x v="2"/>
    <s v="MPI-909"/>
    <x v="1"/>
    <d v="2017-01-23T00:00:00"/>
    <x v="1"/>
    <n v="350900"/>
    <x v="0"/>
  </r>
  <r>
    <n v="811"/>
    <x v="10"/>
    <s v="URR-404"/>
    <x v="1"/>
    <d v="2017-01-23T00:00:00"/>
    <x v="1"/>
    <n v="264000"/>
    <x v="1"/>
  </r>
  <r>
    <n v="812"/>
    <x v="12"/>
    <s v="KSE-971"/>
    <x v="0"/>
    <d v="2017-01-28T00:00:00"/>
    <x v="1"/>
    <n v="290100"/>
    <x v="1"/>
  </r>
  <r>
    <n v="813"/>
    <x v="6"/>
    <s v="KEB-400"/>
    <x v="0"/>
    <d v="2017-02-02T00:00:00"/>
    <x v="1"/>
    <n v="399700"/>
    <x v="2"/>
  </r>
  <r>
    <n v="814"/>
    <x v="12"/>
    <s v="LBX-793"/>
    <x v="4"/>
    <d v="2017-02-04T00:00:00"/>
    <x v="0"/>
    <n v="260200"/>
    <x v="3"/>
  </r>
  <r>
    <n v="815"/>
    <x v="4"/>
    <s v="PLS-408"/>
    <x v="1"/>
    <d v="2017-02-08T00:00:00"/>
    <x v="0"/>
    <n v="273600"/>
    <x v="0"/>
  </r>
  <r>
    <n v="816"/>
    <x v="4"/>
    <s v="HPA-704"/>
    <x v="3"/>
    <d v="2017-02-13T00:00:00"/>
    <x v="1"/>
    <n v="284500"/>
    <x v="0"/>
  </r>
  <r>
    <n v="817"/>
    <x v="5"/>
    <s v="GGJ-297"/>
    <x v="1"/>
    <d v="2017-02-09T00:00:00"/>
    <x v="1"/>
    <n v="238300"/>
    <x v="0"/>
  </r>
  <r>
    <n v="818"/>
    <x v="5"/>
    <s v="TMH-386"/>
    <x v="1"/>
    <d v="2017-02-05T00:00:00"/>
    <x v="1"/>
    <n v="240200"/>
    <x v="1"/>
  </r>
  <r>
    <n v="819"/>
    <x v="12"/>
    <s v="KSE-971"/>
    <x v="0"/>
    <d v="2017-02-13T00:00:00"/>
    <x v="1"/>
    <n v="236800"/>
    <x v="1"/>
  </r>
  <r>
    <n v="820"/>
    <x v="7"/>
    <s v="IMI-566"/>
    <x v="1"/>
    <d v="2017-02-14T00:00:00"/>
    <x v="1"/>
    <n v="294300"/>
    <x v="2"/>
  </r>
  <r>
    <n v="821"/>
    <x v="7"/>
    <s v="IMI-566"/>
    <x v="1"/>
    <d v="2017-02-13T00:00:00"/>
    <x v="1"/>
    <n v="707800"/>
    <x v="2"/>
  </r>
  <r>
    <n v="822"/>
    <x v="5"/>
    <s v="TMH-386"/>
    <x v="1"/>
    <d v="2017-02-25T00:00:00"/>
    <x v="1"/>
    <n v="280500"/>
    <x v="1"/>
  </r>
  <r>
    <n v="823"/>
    <x v="15"/>
    <s v="ZPQ-733"/>
    <x v="3"/>
    <d v="2017-02-22T00:00:00"/>
    <x v="1"/>
    <n v="324100"/>
    <x v="0"/>
  </r>
  <r>
    <n v="824"/>
    <x v="16"/>
    <s v="LFL-867"/>
    <x v="1"/>
    <d v="2017-02-28T00:00:00"/>
    <x v="1"/>
    <n v="325700"/>
    <x v="0"/>
  </r>
  <r>
    <n v="825"/>
    <x v="12"/>
    <s v="IXP-392"/>
    <x v="0"/>
    <d v="2017-02-21T00:00:00"/>
    <x v="1"/>
    <n v="421400"/>
    <x v="1"/>
  </r>
  <r>
    <n v="826"/>
    <x v="7"/>
    <s v="MDL-513"/>
    <x v="4"/>
    <d v="2017-02-25T00:00:00"/>
    <x v="0"/>
    <n v="240900"/>
    <x v="2"/>
  </r>
  <r>
    <n v="827"/>
    <x v="0"/>
    <s v="FSV-125"/>
    <x v="0"/>
    <d v="2017-02-26T00:00:00"/>
    <x v="1"/>
    <n v="261600"/>
    <x v="3"/>
  </r>
  <r>
    <n v="828"/>
    <x v="10"/>
    <s v="YSQ-468"/>
    <x v="4"/>
    <d v="2017-03-04T00:00:00"/>
    <x v="0"/>
    <n v="415300"/>
    <x v="2"/>
  </r>
  <r>
    <n v="829"/>
    <x v="8"/>
    <s v="YUF-368"/>
    <x v="0"/>
    <d v="2017-03-09T00:00:00"/>
    <x v="0"/>
    <n v="272700"/>
    <x v="1"/>
  </r>
  <r>
    <n v="830"/>
    <x v="1"/>
    <s v="ZRJ-593"/>
    <x v="0"/>
    <d v="2017-03-12T00:00:00"/>
    <x v="0"/>
    <n v="240700"/>
    <x v="1"/>
  </r>
  <r>
    <n v="831"/>
    <x v="7"/>
    <s v="MMJ-186"/>
    <x v="0"/>
    <d v="2017-03-06T00:00:00"/>
    <x v="1"/>
    <n v="266700"/>
    <x v="3"/>
  </r>
  <r>
    <n v="832"/>
    <x v="2"/>
    <s v="MPI-909"/>
    <x v="1"/>
    <d v="2017-03-06T00:00:00"/>
    <x v="1"/>
    <n v="285400"/>
    <x v="0"/>
  </r>
  <r>
    <n v="833"/>
    <x v="15"/>
    <s v="ZPQ-733"/>
    <x v="3"/>
    <d v="2017-03-14T00:00:00"/>
    <x v="1"/>
    <n v="262000"/>
    <x v="0"/>
  </r>
  <r>
    <n v="834"/>
    <x v="2"/>
    <s v="AUK-108"/>
    <x v="0"/>
    <d v="2017-03-18T00:00:00"/>
    <x v="0"/>
    <n v="424500"/>
    <x v="2"/>
  </r>
  <r>
    <n v="835"/>
    <x v="8"/>
    <s v="YUF-368"/>
    <x v="0"/>
    <d v="2017-03-21T00:00:00"/>
    <x v="1"/>
    <n v="292800"/>
    <x v="1"/>
  </r>
  <r>
    <n v="836"/>
    <x v="13"/>
    <s v="JMS-051"/>
    <x v="2"/>
    <d v="2017-03-23T00:00:00"/>
    <x v="0"/>
    <n v="263400"/>
    <x v="0"/>
  </r>
  <r>
    <n v="837"/>
    <x v="12"/>
    <s v="IXP-392"/>
    <x v="0"/>
    <d v="2017-03-27T00:00:00"/>
    <x v="1"/>
    <n v="242200"/>
    <x v="1"/>
  </r>
  <r>
    <n v="838"/>
    <x v="12"/>
    <s v="ECQ-692"/>
    <x v="0"/>
    <d v="2017-03-25T00:00:00"/>
    <x v="1"/>
    <n v="271100"/>
    <x v="2"/>
  </r>
  <r>
    <n v="839"/>
    <x v="7"/>
    <s v="BSY-851"/>
    <x v="0"/>
    <d v="2017-04-03T00:00:00"/>
    <x v="1"/>
    <n v="251200"/>
    <x v="3"/>
  </r>
  <r>
    <n v="840"/>
    <x v="12"/>
    <s v="ECQ-692"/>
    <x v="0"/>
    <d v="2017-04-02T00:00:00"/>
    <x v="1"/>
    <n v="296900"/>
    <x v="2"/>
  </r>
  <r>
    <n v="841"/>
    <x v="2"/>
    <s v="OGH-586"/>
    <x v="3"/>
    <d v="2017-04-10T00:00:00"/>
    <x v="1"/>
    <n v="413500"/>
    <x v="1"/>
  </r>
  <r>
    <n v="842"/>
    <x v="4"/>
    <s v="PLS-408"/>
    <x v="1"/>
    <d v="2017-04-06T00:00:00"/>
    <x v="0"/>
    <n v="721500"/>
    <x v="0"/>
  </r>
  <r>
    <n v="843"/>
    <x v="5"/>
    <s v="GGJ-297"/>
    <x v="1"/>
    <d v="2017-04-11T00:00:00"/>
    <x v="1"/>
    <n v="275800"/>
    <x v="0"/>
  </r>
  <r>
    <n v="844"/>
    <x v="16"/>
    <s v="LFL-867"/>
    <x v="1"/>
    <d v="2017-04-14T00:00:00"/>
    <x v="1"/>
    <n v="288500"/>
    <x v="0"/>
  </r>
  <r>
    <n v="845"/>
    <x v="0"/>
    <s v="APD-659"/>
    <x v="3"/>
    <d v="2017-04-13T00:00:00"/>
    <x v="0"/>
    <n v="243600"/>
    <x v="2"/>
  </r>
  <r>
    <n v="846"/>
    <x v="0"/>
    <s v="ECO-657"/>
    <x v="0"/>
    <d v="2017-04-09T00:00:00"/>
    <x v="1"/>
    <n v="678300"/>
    <x v="2"/>
  </r>
  <r>
    <n v="847"/>
    <x v="9"/>
    <s v="EKR-064"/>
    <x v="4"/>
    <d v="2017-04-19T00:00:00"/>
    <x v="1"/>
    <n v="398400"/>
    <x v="1"/>
  </r>
  <r>
    <n v="848"/>
    <x v="4"/>
    <s v="PLS-408"/>
    <x v="1"/>
    <d v="2017-04-16T00:00:00"/>
    <x v="0"/>
    <n v="246500"/>
    <x v="0"/>
  </r>
  <r>
    <n v="849"/>
    <x v="2"/>
    <s v="OGH-586"/>
    <x v="3"/>
    <d v="2017-04-18T00:00:00"/>
    <x v="1"/>
    <n v="278300"/>
    <x v="1"/>
  </r>
  <r>
    <n v="850"/>
    <x v="10"/>
    <s v="JNV-031"/>
    <x v="3"/>
    <d v="2017-04-25T00:00:00"/>
    <x v="1"/>
    <n v="275300"/>
    <x v="3"/>
  </r>
  <r>
    <n v="851"/>
    <x v="0"/>
    <s v="BEH-120"/>
    <x v="3"/>
    <d v="2017-04-27T00:00:00"/>
    <x v="1"/>
    <n v="870700"/>
    <x v="0"/>
  </r>
  <r>
    <n v="852"/>
    <x v="1"/>
    <s v="ZRJ-593"/>
    <x v="0"/>
    <d v="2017-05-04T00:00:00"/>
    <x v="1"/>
    <n v="281200"/>
    <x v="1"/>
  </r>
  <r>
    <n v="853"/>
    <x v="10"/>
    <s v="YSQ-468"/>
    <x v="4"/>
    <d v="2017-05-02T00:00:00"/>
    <x v="0"/>
    <n v="235100"/>
    <x v="2"/>
  </r>
  <r>
    <n v="854"/>
    <x v="2"/>
    <s v="QAV-783"/>
    <x v="4"/>
    <d v="2017-05-10T00:00:00"/>
    <x v="1"/>
    <n v="380400"/>
    <x v="1"/>
  </r>
  <r>
    <n v="855"/>
    <x v="9"/>
    <s v="HOX-539"/>
    <x v="4"/>
    <d v="2017-05-12T00:00:00"/>
    <x v="0"/>
    <n v="276900"/>
    <x v="1"/>
  </r>
  <r>
    <n v="856"/>
    <x v="1"/>
    <s v="UCU-590"/>
    <x v="1"/>
    <d v="2017-05-04T00:00:00"/>
    <x v="0"/>
    <n v="256800"/>
    <x v="1"/>
  </r>
  <r>
    <n v="857"/>
    <x v="0"/>
    <s v="ECO-657"/>
    <x v="0"/>
    <d v="2017-05-15T00:00:00"/>
    <x v="1"/>
    <n v="269500"/>
    <x v="2"/>
  </r>
  <r>
    <n v="858"/>
    <x v="10"/>
    <s v="HSH-621"/>
    <x v="0"/>
    <d v="2017-05-12T00:00:00"/>
    <x v="1"/>
    <n v="365800"/>
    <x v="2"/>
  </r>
  <r>
    <n v="859"/>
    <x v="12"/>
    <s v="WLK-100"/>
    <x v="0"/>
    <d v="2017-05-19T00:00:00"/>
    <x v="0"/>
    <n v="258800"/>
    <x v="1"/>
  </r>
  <r>
    <n v="860"/>
    <x v="12"/>
    <s v="KSE-971"/>
    <x v="0"/>
    <d v="2017-05-15T00:00:00"/>
    <x v="1"/>
    <n v="982000"/>
    <x v="1"/>
  </r>
  <r>
    <n v="861"/>
    <x v="16"/>
    <s v="SUX-856"/>
    <x v="4"/>
    <d v="2017-05-14T00:00:00"/>
    <x v="0"/>
    <n v="487400"/>
    <x v="3"/>
  </r>
  <r>
    <n v="862"/>
    <x v="15"/>
    <s v="ZPQ-733"/>
    <x v="3"/>
    <d v="2017-05-16T00:00:00"/>
    <x v="1"/>
    <n v="868000"/>
    <x v="0"/>
  </r>
  <r>
    <n v="863"/>
    <x v="7"/>
    <s v="LAD-215"/>
    <x v="0"/>
    <d v="2017-05-21T00:00:00"/>
    <x v="1"/>
    <n v="235200"/>
    <x v="1"/>
  </r>
  <r>
    <n v="864"/>
    <x v="2"/>
    <s v="IRF-014"/>
    <x v="0"/>
    <d v="2017-05-27T00:00:00"/>
    <x v="1"/>
    <n v="252400"/>
    <x v="1"/>
  </r>
  <r>
    <n v="865"/>
    <x v="17"/>
    <s v="IGX-960"/>
    <x v="1"/>
    <d v="2017-05-26T00:00:00"/>
    <x v="1"/>
    <n v="607800"/>
    <x v="2"/>
  </r>
  <r>
    <n v="866"/>
    <x v="0"/>
    <s v="BEH-120"/>
    <x v="3"/>
    <d v="2017-05-25T00:00:00"/>
    <x v="0"/>
    <n v="630200"/>
    <x v="0"/>
  </r>
  <r>
    <n v="867"/>
    <x v="5"/>
    <s v="TMH-386"/>
    <x v="1"/>
    <d v="2017-05-31T00:00:00"/>
    <x v="1"/>
    <n v="331000"/>
    <x v="1"/>
  </r>
  <r>
    <n v="868"/>
    <x v="0"/>
    <s v="BUY-359"/>
    <x v="0"/>
    <d v="2017-06-07T00:00:00"/>
    <x v="1"/>
    <n v="265300"/>
    <x v="3"/>
  </r>
  <r>
    <n v="869"/>
    <x v="4"/>
    <s v="XIE-101"/>
    <x v="1"/>
    <d v="2017-06-11T00:00:00"/>
    <x v="1"/>
    <n v="459100"/>
    <x v="2"/>
  </r>
  <r>
    <n v="870"/>
    <x v="0"/>
    <s v="ECO-657"/>
    <x v="0"/>
    <d v="2017-06-13T00:00:00"/>
    <x v="1"/>
    <n v="279900"/>
    <x v="2"/>
  </r>
  <r>
    <n v="871"/>
    <x v="14"/>
    <s v="IGI-371"/>
    <x v="2"/>
    <d v="2017-06-12T00:00:00"/>
    <x v="0"/>
    <n v="294100"/>
    <x v="3"/>
  </r>
  <r>
    <n v="872"/>
    <x v="9"/>
    <s v="EKR-064"/>
    <x v="4"/>
    <d v="2017-06-18T00:00:00"/>
    <x v="1"/>
    <n v="353800"/>
    <x v="1"/>
  </r>
  <r>
    <n v="873"/>
    <x v="2"/>
    <s v="AUK-108"/>
    <x v="0"/>
    <d v="2017-06-17T00:00:00"/>
    <x v="1"/>
    <n v="296600"/>
    <x v="2"/>
  </r>
  <r>
    <n v="874"/>
    <x v="7"/>
    <s v="LAD-215"/>
    <x v="0"/>
    <d v="2017-06-19T00:00:00"/>
    <x v="1"/>
    <n v="246700"/>
    <x v="1"/>
  </r>
  <r>
    <n v="875"/>
    <x v="5"/>
    <s v="GQQ-394"/>
    <x v="0"/>
    <d v="2017-06-17T00:00:00"/>
    <x v="0"/>
    <n v="827800"/>
    <x v="3"/>
  </r>
  <r>
    <n v="876"/>
    <x v="7"/>
    <s v="MDL-513"/>
    <x v="4"/>
    <d v="2017-06-26T00:00:00"/>
    <x v="1"/>
    <n v="252400"/>
    <x v="2"/>
  </r>
  <r>
    <n v="877"/>
    <x v="15"/>
    <s v="ZPQ-733"/>
    <x v="3"/>
    <d v="2017-06-29T00:00:00"/>
    <x v="0"/>
    <n v="987000"/>
    <x v="0"/>
  </r>
  <r>
    <n v="878"/>
    <x v="0"/>
    <s v="APD-659"/>
    <x v="3"/>
    <d v="2017-07-05T00:00:00"/>
    <x v="1"/>
    <n v="242600"/>
    <x v="2"/>
  </r>
  <r>
    <n v="879"/>
    <x v="9"/>
    <s v="EKR-064"/>
    <x v="4"/>
    <d v="2017-07-05T00:00:00"/>
    <x v="1"/>
    <n v="320700"/>
    <x v="1"/>
  </r>
  <r>
    <n v="880"/>
    <x v="16"/>
    <s v="SUX-856"/>
    <x v="4"/>
    <d v="2017-07-21T00:00:00"/>
    <x v="0"/>
    <n v="657400"/>
    <x v="3"/>
  </r>
  <r>
    <n v="881"/>
    <x v="1"/>
    <s v="ZRJ-593"/>
    <x v="0"/>
    <d v="2017-07-23T00:00:00"/>
    <x v="1"/>
    <n v="236200"/>
    <x v="1"/>
  </r>
  <r>
    <n v="882"/>
    <x v="2"/>
    <s v="OGH-586"/>
    <x v="3"/>
    <d v="2017-07-18T00:00:00"/>
    <x v="0"/>
    <n v="459100"/>
    <x v="1"/>
  </r>
  <r>
    <n v="883"/>
    <x v="9"/>
    <s v="EKR-064"/>
    <x v="4"/>
    <d v="2017-07-19T00:00:00"/>
    <x v="1"/>
    <n v="1084800"/>
    <x v="1"/>
  </r>
  <r>
    <n v="884"/>
    <x v="13"/>
    <s v="JMS-051"/>
    <x v="2"/>
    <d v="2017-08-05T00:00:00"/>
    <x v="1"/>
    <n v="620200"/>
    <x v="0"/>
  </r>
  <r>
    <n v="885"/>
    <x v="2"/>
    <s v="MPI-909"/>
    <x v="1"/>
    <d v="2017-08-17T00:00:00"/>
    <x v="1"/>
    <n v="734500"/>
    <x v="0"/>
  </r>
  <r>
    <n v="886"/>
    <x v="0"/>
    <s v="ECO-657"/>
    <x v="0"/>
    <d v="2017-08-12T00:00:00"/>
    <x v="1"/>
    <n v="243100"/>
    <x v="2"/>
  </r>
  <r>
    <n v="887"/>
    <x v="12"/>
    <s v="KSE-971"/>
    <x v="0"/>
    <d v="2017-08-10T00:00:00"/>
    <x v="1"/>
    <n v="299000"/>
    <x v="1"/>
  </r>
  <r>
    <n v="888"/>
    <x v="6"/>
    <s v="FNJ-604"/>
    <x v="1"/>
    <d v="2017-09-01T00:00:00"/>
    <x v="1"/>
    <n v="273000"/>
    <x v="3"/>
  </r>
  <r>
    <n v="889"/>
    <x v="10"/>
    <s v="YSQ-468"/>
    <x v="4"/>
    <d v="2017-08-28T00:00:00"/>
    <x v="0"/>
    <n v="304800"/>
    <x v="2"/>
  </r>
  <r>
    <n v="890"/>
    <x v="5"/>
    <s v="TMH-386"/>
    <x v="1"/>
    <d v="2017-08-27T00:00:00"/>
    <x v="1"/>
    <n v="712900"/>
    <x v="1"/>
  </r>
  <r>
    <n v="891"/>
    <x v="4"/>
    <s v="XIE-101"/>
    <x v="1"/>
    <d v="2017-08-29T00:00:00"/>
    <x v="0"/>
    <n v="464600"/>
    <x v="2"/>
  </r>
  <r>
    <n v="892"/>
    <x v="5"/>
    <s v="GGJ-297"/>
    <x v="1"/>
    <d v="2017-09-08T00:00:00"/>
    <x v="1"/>
    <n v="238200"/>
    <x v="0"/>
  </r>
  <r>
    <n v="893"/>
    <x v="5"/>
    <s v="LCV-769"/>
    <x v="4"/>
    <d v="2017-09-15T00:00:00"/>
    <x v="1"/>
    <n v="244700"/>
    <x v="2"/>
  </r>
  <r>
    <n v="894"/>
    <x v="2"/>
    <s v="TRZ-647"/>
    <x v="4"/>
    <d v="2017-09-12T00:00:00"/>
    <x v="1"/>
    <n v="289200"/>
    <x v="3"/>
  </r>
  <r>
    <n v="895"/>
    <x v="2"/>
    <s v="AUK-108"/>
    <x v="0"/>
    <d v="2017-09-20T00:00:00"/>
    <x v="1"/>
    <n v="319700"/>
    <x v="2"/>
  </r>
  <r>
    <n v="896"/>
    <x v="3"/>
    <s v="BHQ-473"/>
    <x v="2"/>
    <d v="2017-09-23T00:00:00"/>
    <x v="0"/>
    <n v="288900"/>
    <x v="2"/>
  </r>
  <r>
    <n v="897"/>
    <x v="0"/>
    <s v="FSV-125"/>
    <x v="0"/>
    <d v="2017-09-20T00:00:00"/>
    <x v="0"/>
    <n v="285800"/>
    <x v="3"/>
  </r>
  <r>
    <n v="898"/>
    <x v="8"/>
    <s v="TVI-058"/>
    <x v="3"/>
    <d v="2017-09-26T00:00:00"/>
    <x v="0"/>
    <n v="295300"/>
    <x v="2"/>
  </r>
  <r>
    <n v="899"/>
    <x v="2"/>
    <s v="OGH-586"/>
    <x v="3"/>
    <d v="2017-09-23T00:00:00"/>
    <x v="1"/>
    <n v="278300"/>
    <x v="1"/>
  </r>
  <r>
    <n v="900"/>
    <x v="17"/>
    <s v="THS-050"/>
    <x v="4"/>
    <d v="2017-09-30T00:00:00"/>
    <x v="1"/>
    <n v="243000"/>
    <x v="0"/>
  </r>
  <r>
    <n v="901"/>
    <x v="10"/>
    <s v="URR-404"/>
    <x v="1"/>
    <d v="2017-09-26T00:00:00"/>
    <x v="0"/>
    <n v="423400"/>
    <x v="1"/>
  </r>
  <r>
    <n v="902"/>
    <x v="0"/>
    <s v="UYV-076"/>
    <x v="0"/>
    <d v="2017-09-29T00:00:00"/>
    <x v="0"/>
    <n v="432300"/>
    <x v="0"/>
  </r>
  <r>
    <n v="903"/>
    <x v="6"/>
    <s v="TGU-488"/>
    <x v="4"/>
    <d v="2017-10-05T00:00:00"/>
    <x v="1"/>
    <n v="283100"/>
    <x v="3"/>
  </r>
  <r>
    <n v="904"/>
    <x v="6"/>
    <s v="AKD-565"/>
    <x v="0"/>
    <d v="2017-10-04T00:00:00"/>
    <x v="1"/>
    <n v="271900"/>
    <x v="0"/>
  </r>
  <r>
    <n v="905"/>
    <x v="14"/>
    <s v="IGI-371"/>
    <x v="2"/>
    <d v="2017-10-09T00:00:00"/>
    <x v="1"/>
    <n v="336200"/>
    <x v="3"/>
  </r>
  <r>
    <n v="906"/>
    <x v="10"/>
    <s v="URR-404"/>
    <x v="1"/>
    <d v="2017-10-14T00:00:00"/>
    <x v="1"/>
    <n v="487300"/>
    <x v="1"/>
  </r>
  <r>
    <n v="907"/>
    <x v="4"/>
    <s v="AAW-520"/>
    <x v="4"/>
    <d v="2017-10-08T00:00:00"/>
    <x v="1"/>
    <n v="335600"/>
    <x v="1"/>
  </r>
  <r>
    <n v="908"/>
    <x v="6"/>
    <s v="QLT-781"/>
    <x v="0"/>
    <d v="2017-10-15T00:00:00"/>
    <x v="1"/>
    <n v="237300"/>
    <x v="0"/>
  </r>
  <r>
    <n v="909"/>
    <x v="10"/>
    <s v="JNV-031"/>
    <x v="3"/>
    <d v="2017-10-14T00:00:00"/>
    <x v="1"/>
    <n v="290400"/>
    <x v="3"/>
  </r>
  <r>
    <n v="910"/>
    <x v="10"/>
    <s v="YSQ-468"/>
    <x v="4"/>
    <d v="2017-10-25T00:00:00"/>
    <x v="0"/>
    <n v="413000"/>
    <x v="2"/>
  </r>
  <r>
    <n v="911"/>
    <x v="6"/>
    <s v="QLT-781"/>
    <x v="0"/>
    <d v="2017-11-06T00:00:00"/>
    <x v="1"/>
    <n v="256300"/>
    <x v="0"/>
  </r>
  <r>
    <n v="912"/>
    <x v="5"/>
    <s v="HYZ-268"/>
    <x v="1"/>
    <d v="2017-11-09T00:00:00"/>
    <x v="1"/>
    <n v="484700"/>
    <x v="3"/>
  </r>
  <r>
    <n v="913"/>
    <x v="11"/>
    <s v="RSX-844"/>
    <x v="2"/>
    <d v="2017-11-26T00:00:00"/>
    <x v="1"/>
    <n v="362100"/>
    <x v="2"/>
  </r>
  <r>
    <n v="914"/>
    <x v="17"/>
    <s v="IGX-960"/>
    <x v="1"/>
    <d v="2017-11-27T00:00:00"/>
    <x v="1"/>
    <n v="274900"/>
    <x v="2"/>
  </r>
  <r>
    <n v="915"/>
    <x v="15"/>
    <s v="BND-497"/>
    <x v="4"/>
    <d v="2017-11-29T00:00:00"/>
    <x v="1"/>
    <n v="250800"/>
    <x v="2"/>
  </r>
  <r>
    <n v="916"/>
    <x v="6"/>
    <s v="PIX-002"/>
    <x v="1"/>
    <d v="2017-11-27T00:00:00"/>
    <x v="0"/>
    <n v="301600"/>
    <x v="0"/>
  </r>
  <r>
    <n v="917"/>
    <x v="5"/>
    <s v="GGJ-297"/>
    <x v="1"/>
    <d v="2017-11-28T00:00:00"/>
    <x v="0"/>
    <n v="275300"/>
    <x v="0"/>
  </r>
  <r>
    <n v="918"/>
    <x v="6"/>
    <s v="AKD-565"/>
    <x v="0"/>
    <d v="2017-11-29T00:00:00"/>
    <x v="1"/>
    <n v="282300"/>
    <x v="0"/>
  </r>
  <r>
    <n v="919"/>
    <x v="4"/>
    <s v="XIE-101"/>
    <x v="1"/>
    <d v="2017-12-05T00:00:00"/>
    <x v="1"/>
    <n v="256600"/>
    <x v="2"/>
  </r>
  <r>
    <n v="920"/>
    <x v="11"/>
    <s v="WEZ-675"/>
    <x v="2"/>
    <d v="2017-12-09T00:00:00"/>
    <x v="1"/>
    <n v="286900"/>
    <x v="3"/>
  </r>
  <r>
    <n v="921"/>
    <x v="12"/>
    <s v="RYN-380"/>
    <x v="1"/>
    <d v="2017-12-07T00:00:00"/>
    <x v="0"/>
    <n v="307900"/>
    <x v="0"/>
  </r>
  <r>
    <n v="922"/>
    <x v="8"/>
    <s v="TVI-058"/>
    <x v="3"/>
    <d v="2017-12-10T00:00:00"/>
    <x v="1"/>
    <n v="281000"/>
    <x v="2"/>
  </r>
  <r>
    <n v="923"/>
    <x v="3"/>
    <s v="BHQ-473"/>
    <x v="2"/>
    <d v="2017-12-11T00:00:00"/>
    <x v="1"/>
    <n v="354500"/>
    <x v="2"/>
  </r>
  <r>
    <n v="924"/>
    <x v="9"/>
    <s v="BSB-354"/>
    <x v="4"/>
    <d v="2017-12-14T00:00:00"/>
    <x v="1"/>
    <n v="357700"/>
    <x v="2"/>
  </r>
  <r>
    <n v="925"/>
    <x v="4"/>
    <s v="IBY-325"/>
    <x v="0"/>
    <d v="2017-12-19T00:00:00"/>
    <x v="0"/>
    <n v="299900"/>
    <x v="0"/>
  </r>
  <r>
    <n v="926"/>
    <x v="6"/>
    <s v="PIX-002"/>
    <x v="1"/>
    <d v="2017-12-20T00:00:00"/>
    <x v="1"/>
    <n v="289500"/>
    <x v="0"/>
  </r>
  <r>
    <n v="927"/>
    <x v="11"/>
    <s v="RSX-844"/>
    <x v="2"/>
    <d v="2017-12-26T00:00:00"/>
    <x v="0"/>
    <n v="342300"/>
    <x v="2"/>
  </r>
  <r>
    <n v="928"/>
    <x v="10"/>
    <s v="URR-404"/>
    <x v="1"/>
    <d v="2018-01-07T00:00:00"/>
    <x v="1"/>
    <n v="282900"/>
    <x v="1"/>
  </r>
  <r>
    <n v="929"/>
    <x v="16"/>
    <s v="LFL-867"/>
    <x v="1"/>
    <d v="2018-01-06T00:00:00"/>
    <x v="1"/>
    <n v="256900"/>
    <x v="0"/>
  </r>
  <r>
    <n v="930"/>
    <x v="7"/>
    <s v="MDL-513"/>
    <x v="4"/>
    <d v="2018-01-24T00:00:00"/>
    <x v="0"/>
    <n v="269800"/>
    <x v="2"/>
  </r>
  <r>
    <n v="931"/>
    <x v="10"/>
    <s v="YSQ-468"/>
    <x v="4"/>
    <d v="2018-01-24T00:00:00"/>
    <x v="1"/>
    <n v="288300"/>
    <x v="2"/>
  </r>
  <r>
    <n v="932"/>
    <x v="2"/>
    <s v="IRF-014"/>
    <x v="0"/>
    <d v="2018-01-23T00:00:00"/>
    <x v="1"/>
    <n v="411800"/>
    <x v="1"/>
  </r>
  <r>
    <n v="933"/>
    <x v="11"/>
    <s v="WEZ-675"/>
    <x v="2"/>
    <d v="2018-01-23T00:00:00"/>
    <x v="0"/>
    <n v="250500"/>
    <x v="3"/>
  </r>
  <r>
    <n v="934"/>
    <x v="8"/>
    <s v="JSF-047"/>
    <x v="3"/>
    <d v="2018-01-25T00:00:00"/>
    <x v="0"/>
    <n v="274400"/>
    <x v="1"/>
  </r>
  <r>
    <n v="935"/>
    <x v="4"/>
    <s v="XIE-101"/>
    <x v="1"/>
    <d v="2018-02-02T00:00:00"/>
    <x v="0"/>
    <n v="296000"/>
    <x v="2"/>
  </r>
  <r>
    <n v="936"/>
    <x v="15"/>
    <s v="BND-497"/>
    <x v="4"/>
    <d v="2018-02-03T00:00:00"/>
    <x v="1"/>
    <n v="237900"/>
    <x v="2"/>
  </r>
  <r>
    <n v="937"/>
    <x v="7"/>
    <s v="BSY-851"/>
    <x v="0"/>
    <d v="2018-02-10T00:00:00"/>
    <x v="1"/>
    <n v="369700"/>
    <x v="3"/>
  </r>
  <r>
    <n v="938"/>
    <x v="1"/>
    <s v="UCU-590"/>
    <x v="1"/>
    <d v="2018-02-02T00:00:00"/>
    <x v="1"/>
    <n v="268800"/>
    <x v="1"/>
  </r>
  <r>
    <n v="939"/>
    <x v="12"/>
    <s v="LBX-793"/>
    <x v="4"/>
    <d v="2018-02-20T00:00:00"/>
    <x v="1"/>
    <n v="240700"/>
    <x v="3"/>
  </r>
  <r>
    <n v="940"/>
    <x v="10"/>
    <s v="JNV-031"/>
    <x v="3"/>
    <d v="2018-02-16T00:00:00"/>
    <x v="0"/>
    <n v="791600"/>
    <x v="3"/>
  </r>
  <r>
    <n v="941"/>
    <x v="5"/>
    <s v="HYZ-268"/>
    <x v="1"/>
    <d v="2018-02-20T00:00:00"/>
    <x v="0"/>
    <n v="279400"/>
    <x v="3"/>
  </r>
  <r>
    <n v="942"/>
    <x v="11"/>
    <s v="RSX-844"/>
    <x v="2"/>
    <d v="2018-02-23T00:00:00"/>
    <x v="0"/>
    <n v="497800"/>
    <x v="2"/>
  </r>
  <r>
    <n v="943"/>
    <x v="7"/>
    <s v="LAD-215"/>
    <x v="0"/>
    <d v="2018-02-25T00:00:00"/>
    <x v="1"/>
    <n v="390800"/>
    <x v="1"/>
  </r>
  <r>
    <n v="944"/>
    <x v="8"/>
    <s v="NCG-044"/>
    <x v="0"/>
    <d v="2018-02-24T00:00:00"/>
    <x v="1"/>
    <n v="485300"/>
    <x v="1"/>
  </r>
  <r>
    <n v="945"/>
    <x v="8"/>
    <s v="JSF-047"/>
    <x v="3"/>
    <d v="2018-02-25T00:00:00"/>
    <x v="1"/>
    <n v="666500"/>
    <x v="1"/>
  </r>
  <r>
    <n v="946"/>
    <x v="10"/>
    <s v="HSH-621"/>
    <x v="0"/>
    <d v="2018-03-04T00:00:00"/>
    <x v="1"/>
    <n v="285500"/>
    <x v="2"/>
  </r>
  <r>
    <n v="947"/>
    <x v="0"/>
    <s v="BUY-359"/>
    <x v="0"/>
    <d v="2018-03-14T00:00:00"/>
    <x v="1"/>
    <n v="289800"/>
    <x v="3"/>
  </r>
  <r>
    <n v="948"/>
    <x v="9"/>
    <s v="BSB-354"/>
    <x v="4"/>
    <d v="2018-03-15T00:00:00"/>
    <x v="0"/>
    <n v="806000"/>
    <x v="2"/>
  </r>
  <r>
    <n v="949"/>
    <x v="8"/>
    <s v="NCG-044"/>
    <x v="0"/>
    <d v="2018-03-12T00:00:00"/>
    <x v="0"/>
    <n v="292600"/>
    <x v="1"/>
  </r>
  <r>
    <n v="950"/>
    <x v="7"/>
    <s v="BSY-851"/>
    <x v="0"/>
    <d v="2018-03-21T00:00:00"/>
    <x v="1"/>
    <n v="350000"/>
    <x v="3"/>
  </r>
  <r>
    <n v="951"/>
    <x v="7"/>
    <s v="IMI-566"/>
    <x v="1"/>
    <d v="2018-03-26T00:00:00"/>
    <x v="1"/>
    <n v="299100"/>
    <x v="2"/>
  </r>
  <r>
    <n v="952"/>
    <x v="6"/>
    <s v="QLT-781"/>
    <x v="0"/>
    <d v="2018-03-23T00:00:00"/>
    <x v="1"/>
    <n v="306500"/>
    <x v="0"/>
  </r>
  <r>
    <n v="953"/>
    <x v="17"/>
    <s v="IGX-960"/>
    <x v="1"/>
    <d v="2018-04-04T00:00:00"/>
    <x v="1"/>
    <n v="249600"/>
    <x v="2"/>
  </r>
  <r>
    <n v="954"/>
    <x v="8"/>
    <s v="JSF-047"/>
    <x v="3"/>
    <d v="2018-04-14T00:00:00"/>
    <x v="1"/>
    <n v="347800"/>
    <x v="1"/>
  </r>
  <r>
    <n v="955"/>
    <x v="10"/>
    <s v="URR-404"/>
    <x v="1"/>
    <d v="2018-04-20T00:00:00"/>
    <x v="1"/>
    <n v="264600"/>
    <x v="1"/>
  </r>
  <r>
    <n v="956"/>
    <x v="11"/>
    <s v="RSX-844"/>
    <x v="2"/>
    <d v="2018-04-26T00:00:00"/>
    <x v="0"/>
    <n v="244200"/>
    <x v="2"/>
  </r>
  <r>
    <n v="957"/>
    <x v="0"/>
    <s v="BEH-120"/>
    <x v="3"/>
    <d v="2018-05-08T00:00:00"/>
    <x v="1"/>
    <n v="254600"/>
    <x v="0"/>
  </r>
  <r>
    <n v="958"/>
    <x v="14"/>
    <s v="IGI-371"/>
    <x v="2"/>
    <d v="2018-05-02T00:00:00"/>
    <x v="1"/>
    <n v="272300"/>
    <x v="3"/>
  </r>
  <r>
    <n v="959"/>
    <x v="15"/>
    <s v="ZPQ-733"/>
    <x v="3"/>
    <d v="2018-05-16T00:00:00"/>
    <x v="1"/>
    <n v="341000"/>
    <x v="0"/>
  </r>
  <r>
    <n v="960"/>
    <x v="6"/>
    <s v="TGU-488"/>
    <x v="4"/>
    <d v="2018-05-12T00:00:00"/>
    <x v="0"/>
    <n v="248000"/>
    <x v="3"/>
  </r>
  <r>
    <n v="961"/>
    <x v="12"/>
    <s v="WLK-100"/>
    <x v="0"/>
    <d v="2018-05-25T00:00:00"/>
    <x v="0"/>
    <n v="407800"/>
    <x v="1"/>
  </r>
  <r>
    <n v="962"/>
    <x v="16"/>
    <s v="SUX-856"/>
    <x v="4"/>
    <d v="2018-05-20T00:00:00"/>
    <x v="1"/>
    <n v="245600"/>
    <x v="3"/>
  </r>
  <r>
    <n v="963"/>
    <x v="10"/>
    <s v="HSH-621"/>
    <x v="0"/>
    <d v="2018-05-22T00:00:00"/>
    <x v="1"/>
    <n v="255800"/>
    <x v="2"/>
  </r>
  <r>
    <n v="964"/>
    <x v="1"/>
    <s v="ZRJ-593"/>
    <x v="0"/>
    <d v="2018-05-20T00:00:00"/>
    <x v="1"/>
    <n v="465900"/>
    <x v="1"/>
  </r>
  <r>
    <n v="965"/>
    <x v="10"/>
    <s v="ZTS-446"/>
    <x v="1"/>
    <d v="2018-05-27T00:00:00"/>
    <x v="1"/>
    <n v="245000"/>
    <x v="3"/>
  </r>
  <r>
    <n v="966"/>
    <x v="0"/>
    <s v="APD-659"/>
    <x v="3"/>
    <d v="2018-05-24T00:00:00"/>
    <x v="0"/>
    <n v="249500"/>
    <x v="2"/>
  </r>
  <r>
    <n v="967"/>
    <x v="0"/>
    <s v="APD-659"/>
    <x v="3"/>
    <d v="2018-06-09T00:00:00"/>
    <x v="0"/>
    <n v="268500"/>
    <x v="2"/>
  </r>
  <r>
    <n v="968"/>
    <x v="8"/>
    <s v="YUF-368"/>
    <x v="0"/>
    <d v="2018-06-08T00:00:00"/>
    <x v="1"/>
    <n v="931400"/>
    <x v="1"/>
  </r>
  <r>
    <n v="969"/>
    <x v="2"/>
    <s v="IRF-014"/>
    <x v="0"/>
    <d v="2018-06-17T00:00:00"/>
    <x v="1"/>
    <n v="317300"/>
    <x v="1"/>
  </r>
  <r>
    <n v="970"/>
    <x v="14"/>
    <s v="IGI-371"/>
    <x v="2"/>
    <d v="2018-06-16T00:00:00"/>
    <x v="1"/>
    <n v="284400"/>
    <x v="3"/>
  </r>
  <r>
    <n v="971"/>
    <x v="9"/>
    <s v="BSB-354"/>
    <x v="4"/>
    <d v="2018-07-01T00:00:00"/>
    <x v="1"/>
    <n v="272400"/>
    <x v="2"/>
  </r>
  <r>
    <n v="972"/>
    <x v="14"/>
    <s v="TXD-461"/>
    <x v="2"/>
    <d v="2018-06-29T00:00:00"/>
    <x v="1"/>
    <n v="246400"/>
    <x v="3"/>
  </r>
  <r>
    <n v="973"/>
    <x v="7"/>
    <s v="LAD-215"/>
    <x v="0"/>
    <d v="2018-07-02T00:00:00"/>
    <x v="1"/>
    <n v="1048200"/>
    <x v="1"/>
  </r>
  <r>
    <n v="974"/>
    <x v="2"/>
    <s v="IRF-014"/>
    <x v="0"/>
    <d v="2018-07-11T00:00:00"/>
    <x v="0"/>
    <n v="294800"/>
    <x v="1"/>
  </r>
  <r>
    <n v="975"/>
    <x v="16"/>
    <s v="LFL-867"/>
    <x v="1"/>
    <d v="2018-07-13T00:00:00"/>
    <x v="1"/>
    <n v="618400"/>
    <x v="0"/>
  </r>
  <r>
    <n v="976"/>
    <x v="10"/>
    <s v="LIG-440"/>
    <x v="1"/>
    <d v="2018-07-18T00:00:00"/>
    <x v="1"/>
    <n v="240800"/>
    <x v="3"/>
  </r>
  <r>
    <n v="977"/>
    <x v="11"/>
    <s v="RSX-844"/>
    <x v="2"/>
    <d v="2018-07-25T00:00:00"/>
    <x v="0"/>
    <n v="308300"/>
    <x v="2"/>
  </r>
  <r>
    <n v="978"/>
    <x v="12"/>
    <s v="IXP-392"/>
    <x v="0"/>
    <d v="2018-07-21T00:00:00"/>
    <x v="0"/>
    <n v="266400"/>
    <x v="1"/>
  </r>
  <r>
    <n v="979"/>
    <x v="4"/>
    <s v="HPA-704"/>
    <x v="3"/>
    <d v="2018-07-26T00:00:00"/>
    <x v="0"/>
    <n v="414900"/>
    <x v="0"/>
  </r>
  <r>
    <n v="980"/>
    <x v="8"/>
    <s v="YUF-368"/>
    <x v="0"/>
    <d v="2018-08-02T00:00:00"/>
    <x v="1"/>
    <n v="397300"/>
    <x v="1"/>
  </r>
  <r>
    <n v="981"/>
    <x v="12"/>
    <s v="ECQ-692"/>
    <x v="0"/>
    <d v="2018-07-29T00:00:00"/>
    <x v="1"/>
    <n v="871000"/>
    <x v="2"/>
  </r>
  <r>
    <n v="982"/>
    <x v="6"/>
    <s v="TGU-488"/>
    <x v="4"/>
    <d v="2018-08-05T00:00:00"/>
    <x v="1"/>
    <n v="427600"/>
    <x v="3"/>
  </r>
  <r>
    <n v="983"/>
    <x v="5"/>
    <s v="GQQ-394"/>
    <x v="0"/>
    <d v="2018-08-01T00:00:00"/>
    <x v="0"/>
    <n v="273500"/>
    <x v="3"/>
  </r>
  <r>
    <n v="984"/>
    <x v="4"/>
    <s v="IBY-325"/>
    <x v="0"/>
    <d v="2018-08-08T00:00:00"/>
    <x v="0"/>
    <n v="272500"/>
    <x v="0"/>
  </r>
  <r>
    <n v="985"/>
    <x v="6"/>
    <s v="TGU-488"/>
    <x v="4"/>
    <d v="2018-08-08T00:00:00"/>
    <x v="0"/>
    <n v="273300"/>
    <x v="3"/>
  </r>
  <r>
    <n v="986"/>
    <x v="17"/>
    <s v="THS-050"/>
    <x v="4"/>
    <d v="2018-08-17T00:00:00"/>
    <x v="1"/>
    <n v="645500"/>
    <x v="0"/>
  </r>
  <r>
    <n v="987"/>
    <x v="5"/>
    <s v="HYZ-268"/>
    <x v="1"/>
    <d v="2018-08-17T00:00:00"/>
    <x v="1"/>
    <n v="253600"/>
    <x v="3"/>
  </r>
  <r>
    <n v="988"/>
    <x v="10"/>
    <s v="JNV-031"/>
    <x v="3"/>
    <d v="2018-08-17T00:00:00"/>
    <x v="1"/>
    <n v="282300"/>
    <x v="3"/>
  </r>
  <r>
    <n v="989"/>
    <x v="12"/>
    <s v="ECQ-692"/>
    <x v="0"/>
    <d v="2018-08-28T00:00:00"/>
    <x v="1"/>
    <n v="290600"/>
    <x v="2"/>
  </r>
  <r>
    <n v="990"/>
    <x v="17"/>
    <s v="IGX-960"/>
    <x v="1"/>
    <d v="2018-08-31T00:00:00"/>
    <x v="1"/>
    <n v="673500"/>
    <x v="2"/>
  </r>
  <r>
    <n v="991"/>
    <x v="7"/>
    <s v="LAD-215"/>
    <x v="0"/>
    <d v="2018-09-03T00:00:00"/>
    <x v="1"/>
    <n v="298400"/>
    <x v="1"/>
  </r>
  <r>
    <n v="992"/>
    <x v="12"/>
    <s v="IXP-392"/>
    <x v="0"/>
    <d v="2018-09-03T00:00:00"/>
    <x v="1"/>
    <n v="322900"/>
    <x v="1"/>
  </r>
  <r>
    <n v="993"/>
    <x v="5"/>
    <s v="GGJ-297"/>
    <x v="1"/>
    <d v="2018-09-02T00:00:00"/>
    <x v="1"/>
    <n v="452300"/>
    <x v="0"/>
  </r>
  <r>
    <n v="994"/>
    <x v="10"/>
    <s v="YSQ-468"/>
    <x v="4"/>
    <d v="2018-09-01T00:00:00"/>
    <x v="1"/>
    <n v="253100"/>
    <x v="2"/>
  </r>
  <r>
    <n v="995"/>
    <x v="12"/>
    <s v="IXP-392"/>
    <x v="0"/>
    <d v="2018-09-06T00:00:00"/>
    <x v="1"/>
    <n v="313100"/>
    <x v="1"/>
  </r>
  <r>
    <n v="996"/>
    <x v="12"/>
    <s v="ECQ-692"/>
    <x v="0"/>
    <d v="2018-09-12T00:00:00"/>
    <x v="0"/>
    <n v="296400"/>
    <x v="2"/>
  </r>
  <r>
    <n v="997"/>
    <x v="5"/>
    <s v="HYZ-268"/>
    <x v="1"/>
    <d v="2018-09-23T00:00:00"/>
    <x v="1"/>
    <n v="276700"/>
    <x v="3"/>
  </r>
  <r>
    <n v="998"/>
    <x v="14"/>
    <s v="TXD-461"/>
    <x v="2"/>
    <d v="2018-09-24T00:00:00"/>
    <x v="1"/>
    <n v="254900"/>
    <x v="3"/>
  </r>
  <r>
    <n v="999"/>
    <x v="10"/>
    <s v="YSQ-468"/>
    <x v="4"/>
    <d v="2018-09-28T00:00:00"/>
    <x v="1"/>
    <n v="415800"/>
    <x v="2"/>
  </r>
  <r>
    <n v="1000"/>
    <x v="7"/>
    <s v="LAD-215"/>
    <x v="0"/>
    <d v="2018-09-22T00:00:00"/>
    <x v="1"/>
    <n v="414200"/>
    <x v="1"/>
  </r>
  <r>
    <n v="1001"/>
    <x v="17"/>
    <s v="THS-050"/>
    <x v="4"/>
    <d v="2018-09-30T00:00:00"/>
    <x v="0"/>
    <n v="271800"/>
    <x v="0"/>
  </r>
  <r>
    <n v="1002"/>
    <x v="7"/>
    <s v="LAD-215"/>
    <x v="0"/>
    <d v="2018-10-07T00:00:00"/>
    <x v="1"/>
    <n v="242100"/>
    <x v="1"/>
  </r>
  <r>
    <n v="1003"/>
    <x v="12"/>
    <s v="ECQ-692"/>
    <x v="0"/>
    <d v="2018-10-06T00:00:00"/>
    <x v="0"/>
    <n v="266000"/>
    <x v="2"/>
  </r>
  <r>
    <n v="1004"/>
    <x v="6"/>
    <s v="TGU-488"/>
    <x v="4"/>
    <d v="2018-10-08T00:00:00"/>
    <x v="0"/>
    <n v="291800"/>
    <x v="3"/>
  </r>
  <r>
    <n v="1005"/>
    <x v="4"/>
    <s v="AAW-520"/>
    <x v="4"/>
    <d v="2018-10-14T00:00:00"/>
    <x v="1"/>
    <n v="255800"/>
    <x v="1"/>
  </r>
  <r>
    <n v="1006"/>
    <x v="4"/>
    <s v="XIE-101"/>
    <x v="1"/>
    <d v="2018-10-14T00:00:00"/>
    <x v="1"/>
    <n v="288400"/>
    <x v="2"/>
  </r>
  <r>
    <n v="1007"/>
    <x v="2"/>
    <s v="OGH-586"/>
    <x v="3"/>
    <d v="2018-10-16T00:00:00"/>
    <x v="0"/>
    <n v="336200"/>
    <x v="1"/>
  </r>
  <r>
    <n v="1008"/>
    <x v="12"/>
    <s v="KSE-971"/>
    <x v="0"/>
    <d v="2018-10-19T00:00:00"/>
    <x v="1"/>
    <n v="389000"/>
    <x v="1"/>
  </r>
  <r>
    <n v="1009"/>
    <x v="9"/>
    <s v="HOX-539"/>
    <x v="4"/>
    <d v="2018-10-27T00:00:00"/>
    <x v="0"/>
    <n v="237300"/>
    <x v="1"/>
  </r>
  <r>
    <n v="1010"/>
    <x v="4"/>
    <s v="XIE-101"/>
    <x v="1"/>
    <d v="2018-10-30T00:00:00"/>
    <x v="1"/>
    <n v="292400"/>
    <x v="2"/>
  </r>
  <r>
    <n v="1011"/>
    <x v="14"/>
    <s v="TXD-461"/>
    <x v="2"/>
    <d v="2018-10-26T00:00:00"/>
    <x v="0"/>
    <n v="297800"/>
    <x v="3"/>
  </r>
  <r>
    <n v="1012"/>
    <x v="5"/>
    <s v="LCV-769"/>
    <x v="4"/>
    <d v="2018-11-04T00:00:00"/>
    <x v="0"/>
    <n v="286300"/>
    <x v="2"/>
  </r>
  <r>
    <n v="1013"/>
    <x v="4"/>
    <s v="PLS-408"/>
    <x v="1"/>
    <d v="2018-11-07T00:00:00"/>
    <x v="1"/>
    <n v="489700"/>
    <x v="0"/>
  </r>
  <r>
    <n v="1014"/>
    <x v="9"/>
    <s v="BSB-354"/>
    <x v="4"/>
    <d v="2018-11-09T00:00:00"/>
    <x v="1"/>
    <n v="347500"/>
    <x v="2"/>
  </r>
  <r>
    <n v="1015"/>
    <x v="5"/>
    <s v="GQQ-394"/>
    <x v="0"/>
    <d v="2018-11-07T00:00:00"/>
    <x v="0"/>
    <n v="253000"/>
    <x v="3"/>
  </r>
  <r>
    <n v="1016"/>
    <x v="2"/>
    <s v="MPI-909"/>
    <x v="1"/>
    <d v="2018-11-19T00:00:00"/>
    <x v="1"/>
    <n v="293500"/>
    <x v="0"/>
  </r>
  <r>
    <n v="1017"/>
    <x v="6"/>
    <s v="KEB-400"/>
    <x v="0"/>
    <d v="2018-11-21T00:00:00"/>
    <x v="0"/>
    <n v="274400"/>
    <x v="2"/>
  </r>
  <r>
    <n v="1018"/>
    <x v="9"/>
    <s v="EKR-064"/>
    <x v="4"/>
    <d v="2018-11-24T00:00:00"/>
    <x v="1"/>
    <n v="276000"/>
    <x v="1"/>
  </r>
  <r>
    <n v="1019"/>
    <x v="1"/>
    <s v="ZRJ-593"/>
    <x v="0"/>
    <d v="2018-11-19T00:00:00"/>
    <x v="1"/>
    <n v="394700"/>
    <x v="1"/>
  </r>
  <r>
    <n v="1020"/>
    <x v="12"/>
    <s v="WLK-100"/>
    <x v="0"/>
    <d v="2018-11-20T00:00:00"/>
    <x v="1"/>
    <n v="251100"/>
    <x v="1"/>
  </r>
  <r>
    <n v="1021"/>
    <x v="12"/>
    <s v="RYN-380"/>
    <x v="1"/>
    <d v="2018-12-01T00:00:00"/>
    <x v="0"/>
    <n v="626100"/>
    <x v="0"/>
  </r>
  <r>
    <n v="1022"/>
    <x v="15"/>
    <s v="ZPQ-733"/>
    <x v="3"/>
    <d v="2018-12-10T00:00:00"/>
    <x v="1"/>
    <n v="274500"/>
    <x v="0"/>
  </r>
  <r>
    <n v="1023"/>
    <x v="4"/>
    <s v="HPA-704"/>
    <x v="3"/>
    <d v="2018-12-11T00:00:00"/>
    <x v="0"/>
    <n v="417500"/>
    <x v="0"/>
  </r>
  <r>
    <n v="1024"/>
    <x v="2"/>
    <s v="QAV-783"/>
    <x v="4"/>
    <d v="2018-12-14T00:00:00"/>
    <x v="1"/>
    <n v="467500"/>
    <x v="1"/>
  </r>
  <r>
    <n v="1025"/>
    <x v="5"/>
    <s v="LCV-769"/>
    <x v="4"/>
    <d v="2018-12-20T00:00:00"/>
    <x v="1"/>
    <n v="249800"/>
    <x v="2"/>
  </r>
  <r>
    <n v="1026"/>
    <x v="6"/>
    <s v="AKD-565"/>
    <x v="0"/>
    <d v="2018-12-19T00:00:00"/>
    <x v="1"/>
    <n v="274000"/>
    <x v="0"/>
  </r>
  <r>
    <n v="1027"/>
    <x v="7"/>
    <s v="MMJ-186"/>
    <x v="0"/>
    <d v="2018-12-20T00:00:00"/>
    <x v="1"/>
    <n v="415900"/>
    <x v="3"/>
  </r>
  <r>
    <n v="1028"/>
    <x v="12"/>
    <s v="LBX-793"/>
    <x v="4"/>
    <d v="2019-01-02T00:00:00"/>
    <x v="0"/>
    <n v="282000"/>
    <x v="3"/>
  </r>
  <r>
    <n v="1029"/>
    <x v="16"/>
    <s v="LFL-867"/>
    <x v="1"/>
    <d v="2018-12-30T00:00:00"/>
    <x v="1"/>
    <n v="283900"/>
    <x v="0"/>
  </r>
  <r>
    <n v="1030"/>
    <x v="2"/>
    <s v="OGH-586"/>
    <x v="3"/>
    <d v="2019-01-03T00:00:00"/>
    <x v="0"/>
    <n v="820600"/>
    <x v="1"/>
  </r>
  <r>
    <n v="1031"/>
    <x v="2"/>
    <s v="AUK-108"/>
    <x v="0"/>
    <d v="2019-01-04T00:00:00"/>
    <x v="1"/>
    <n v="405600"/>
    <x v="2"/>
  </r>
  <r>
    <n v="1032"/>
    <x v="2"/>
    <s v="AUK-108"/>
    <x v="0"/>
    <d v="2019-01-06T00:00:00"/>
    <x v="0"/>
    <n v="270000"/>
    <x v="2"/>
  </r>
  <r>
    <n v="1033"/>
    <x v="3"/>
    <s v="HBE-391"/>
    <x v="2"/>
    <d v="2019-01-09T00:00:00"/>
    <x v="0"/>
    <n v="293100"/>
    <x v="1"/>
  </r>
  <r>
    <n v="1034"/>
    <x v="2"/>
    <s v="OGH-586"/>
    <x v="3"/>
    <d v="2019-01-13T00:00:00"/>
    <x v="0"/>
    <n v="284400"/>
    <x v="1"/>
  </r>
  <r>
    <n v="1035"/>
    <x v="8"/>
    <s v="JSF-047"/>
    <x v="3"/>
    <d v="2019-01-20T00:00:00"/>
    <x v="1"/>
    <n v="295300"/>
    <x v="1"/>
  </r>
  <r>
    <n v="1036"/>
    <x v="1"/>
    <s v="ZRJ-593"/>
    <x v="0"/>
    <d v="2019-01-21T00:00:00"/>
    <x v="1"/>
    <n v="260600"/>
    <x v="1"/>
  </r>
  <r>
    <n v="1037"/>
    <x v="0"/>
    <s v="APD-659"/>
    <x v="3"/>
    <d v="2019-01-30T00:00:00"/>
    <x v="0"/>
    <n v="264900"/>
    <x v="2"/>
  </r>
  <r>
    <n v="1038"/>
    <x v="10"/>
    <s v="YSQ-468"/>
    <x v="4"/>
    <d v="2019-01-25T00:00:00"/>
    <x v="1"/>
    <n v="299300"/>
    <x v="2"/>
  </r>
  <r>
    <n v="1039"/>
    <x v="17"/>
    <s v="IGX-960"/>
    <x v="1"/>
    <d v="2019-01-28T00:00:00"/>
    <x v="0"/>
    <n v="244500"/>
    <x v="2"/>
  </r>
  <r>
    <n v="1040"/>
    <x v="12"/>
    <s v="ECQ-692"/>
    <x v="0"/>
    <d v="2019-02-10T00:00:00"/>
    <x v="1"/>
    <n v="749600"/>
    <x v="2"/>
  </r>
  <r>
    <n v="1041"/>
    <x v="2"/>
    <s v="OGH-586"/>
    <x v="3"/>
    <d v="2019-02-10T00:00:00"/>
    <x v="1"/>
    <n v="253100"/>
    <x v="1"/>
  </r>
  <r>
    <n v="1042"/>
    <x v="12"/>
    <s v="ECQ-692"/>
    <x v="0"/>
    <d v="2019-02-10T00:00:00"/>
    <x v="1"/>
    <n v="654000"/>
    <x v="2"/>
  </r>
  <r>
    <n v="1043"/>
    <x v="6"/>
    <s v="PIX-002"/>
    <x v="1"/>
    <d v="2019-02-11T00:00:00"/>
    <x v="0"/>
    <n v="426600"/>
    <x v="0"/>
  </r>
  <r>
    <n v="1044"/>
    <x v="1"/>
    <s v="UCU-590"/>
    <x v="1"/>
    <d v="2019-02-17T00:00:00"/>
    <x v="1"/>
    <n v="495200"/>
    <x v="1"/>
  </r>
  <r>
    <n v="1045"/>
    <x v="0"/>
    <s v="ECO-657"/>
    <x v="0"/>
    <d v="2019-02-17T00:00:00"/>
    <x v="1"/>
    <n v="668600"/>
    <x v="2"/>
  </r>
  <r>
    <n v="1046"/>
    <x v="13"/>
    <s v="JMS-051"/>
    <x v="2"/>
    <d v="2019-02-26T00:00:00"/>
    <x v="0"/>
    <n v="295200"/>
    <x v="0"/>
  </r>
  <r>
    <n v="1047"/>
    <x v="9"/>
    <s v="HOX-539"/>
    <x v="4"/>
    <d v="2019-02-25T00:00:00"/>
    <x v="0"/>
    <n v="469100"/>
    <x v="1"/>
  </r>
  <r>
    <n v="1048"/>
    <x v="8"/>
    <s v="TVI-058"/>
    <x v="3"/>
    <d v="2019-03-06T00:00:00"/>
    <x v="1"/>
    <n v="416500"/>
    <x v="2"/>
  </r>
  <r>
    <n v="1049"/>
    <x v="14"/>
    <s v="TXD-461"/>
    <x v="2"/>
    <d v="2019-02-27T00:00:00"/>
    <x v="1"/>
    <n v="298300"/>
    <x v="3"/>
  </r>
  <r>
    <n v="1050"/>
    <x v="4"/>
    <s v="PLS-408"/>
    <x v="1"/>
    <d v="2019-03-11T00:00:00"/>
    <x v="1"/>
    <n v="426700"/>
    <x v="0"/>
  </r>
  <r>
    <n v="1051"/>
    <x v="10"/>
    <s v="LIG-440"/>
    <x v="1"/>
    <d v="2019-03-23T00:00:00"/>
    <x v="1"/>
    <n v="908200"/>
    <x v="3"/>
  </r>
  <r>
    <n v="1052"/>
    <x v="8"/>
    <s v="JSF-047"/>
    <x v="3"/>
    <d v="2019-03-30T00:00:00"/>
    <x v="1"/>
    <n v="284700"/>
    <x v="1"/>
  </r>
  <r>
    <n v="1053"/>
    <x v="1"/>
    <s v="ZRJ-593"/>
    <x v="0"/>
    <d v="2019-03-28T00:00:00"/>
    <x v="1"/>
    <n v="240800"/>
    <x v="1"/>
  </r>
  <r>
    <n v="1054"/>
    <x v="3"/>
    <s v="HBE-391"/>
    <x v="2"/>
    <d v="2019-04-18T00:00:00"/>
    <x v="1"/>
    <n v="251400"/>
    <x v="1"/>
  </r>
  <r>
    <n v="1055"/>
    <x v="10"/>
    <s v="JNV-031"/>
    <x v="3"/>
    <d v="2019-04-19T00:00:00"/>
    <x v="0"/>
    <n v="257100"/>
    <x v="3"/>
  </r>
  <r>
    <n v="1056"/>
    <x v="7"/>
    <s v="BSY-851"/>
    <x v="0"/>
    <d v="2019-04-28T00:00:00"/>
    <x v="0"/>
    <n v="604600"/>
    <x v="3"/>
  </r>
  <r>
    <n v="1057"/>
    <x v="10"/>
    <s v="YSQ-468"/>
    <x v="4"/>
    <d v="2019-05-01T00:00:00"/>
    <x v="1"/>
    <n v="322500"/>
    <x v="2"/>
  </r>
  <r>
    <n v="1058"/>
    <x v="0"/>
    <s v="UYV-076"/>
    <x v="0"/>
    <d v="2019-04-29T00:00:00"/>
    <x v="1"/>
    <n v="480900"/>
    <x v="0"/>
  </r>
  <r>
    <n v="1059"/>
    <x v="15"/>
    <s v="BND-497"/>
    <x v="4"/>
    <d v="2019-04-29T00:00:00"/>
    <x v="1"/>
    <n v="430100"/>
    <x v="2"/>
  </r>
  <r>
    <n v="1060"/>
    <x v="13"/>
    <s v="JMS-051"/>
    <x v="2"/>
    <d v="2019-05-06T00:00:00"/>
    <x v="0"/>
    <n v="236100"/>
    <x v="0"/>
  </r>
  <r>
    <n v="1061"/>
    <x v="8"/>
    <s v="NCG-044"/>
    <x v="0"/>
    <d v="2019-05-09T00:00:00"/>
    <x v="0"/>
    <n v="926500"/>
    <x v="1"/>
  </r>
  <r>
    <n v="1062"/>
    <x v="13"/>
    <s v="JMS-051"/>
    <x v="2"/>
    <d v="2019-05-09T00:00:00"/>
    <x v="1"/>
    <n v="258300"/>
    <x v="0"/>
  </r>
  <r>
    <n v="1063"/>
    <x v="14"/>
    <s v="IGI-371"/>
    <x v="2"/>
    <d v="2019-05-16T00:00:00"/>
    <x v="1"/>
    <n v="260200"/>
    <x v="3"/>
  </r>
  <r>
    <n v="1064"/>
    <x v="7"/>
    <s v="BSY-851"/>
    <x v="0"/>
    <d v="2019-05-18T00:00:00"/>
    <x v="0"/>
    <n v="280300"/>
    <x v="3"/>
  </r>
  <r>
    <n v="1065"/>
    <x v="10"/>
    <s v="ZTS-446"/>
    <x v="1"/>
    <d v="2019-05-14T00:00:00"/>
    <x v="1"/>
    <n v="290800"/>
    <x v="3"/>
  </r>
  <r>
    <n v="1066"/>
    <x v="5"/>
    <s v="HYZ-268"/>
    <x v="1"/>
    <d v="2019-05-31T00:00:00"/>
    <x v="1"/>
    <n v="289300"/>
    <x v="3"/>
  </r>
  <r>
    <n v="1067"/>
    <x v="10"/>
    <s v="JNV-031"/>
    <x v="3"/>
    <d v="2019-06-03T00:00:00"/>
    <x v="0"/>
    <n v="290400"/>
    <x v="3"/>
  </r>
  <r>
    <n v="1068"/>
    <x v="11"/>
    <s v="WEZ-675"/>
    <x v="2"/>
    <d v="2019-06-10T00:00:00"/>
    <x v="0"/>
    <n v="421500"/>
    <x v="3"/>
  </r>
  <r>
    <n v="1069"/>
    <x v="5"/>
    <s v="RHL-469"/>
    <x v="0"/>
    <d v="2019-06-13T00:00:00"/>
    <x v="1"/>
    <n v="290600"/>
    <x v="2"/>
  </r>
  <r>
    <n v="1070"/>
    <x v="17"/>
    <s v="THS-050"/>
    <x v="4"/>
    <d v="2019-06-12T00:00:00"/>
    <x v="0"/>
    <n v="408500"/>
    <x v="0"/>
  </r>
  <r>
    <n v="1071"/>
    <x v="9"/>
    <s v="BSB-354"/>
    <x v="4"/>
    <d v="2019-06-15T00:00:00"/>
    <x v="1"/>
    <n v="286300"/>
    <x v="2"/>
  </r>
  <r>
    <n v="1072"/>
    <x v="16"/>
    <s v="LFL-867"/>
    <x v="1"/>
    <d v="2019-06-18T00:00:00"/>
    <x v="1"/>
    <n v="298000"/>
    <x v="0"/>
  </r>
  <r>
    <n v="1073"/>
    <x v="8"/>
    <s v="JSF-047"/>
    <x v="3"/>
    <d v="2019-06-15T00:00:00"/>
    <x v="1"/>
    <n v="263500"/>
    <x v="1"/>
  </r>
  <r>
    <n v="1074"/>
    <x v="12"/>
    <s v="LBX-793"/>
    <x v="4"/>
    <d v="2019-06-23T00:00:00"/>
    <x v="1"/>
    <n v="360800"/>
    <x v="3"/>
  </r>
  <r>
    <n v="1075"/>
    <x v="2"/>
    <s v="QAV-783"/>
    <x v="4"/>
    <d v="2019-06-26T00:00:00"/>
    <x v="1"/>
    <n v="619600"/>
    <x v="1"/>
  </r>
  <r>
    <n v="1076"/>
    <x v="3"/>
    <s v="HBE-391"/>
    <x v="2"/>
    <d v="2019-07-02T00:00:00"/>
    <x v="1"/>
    <n v="291100"/>
    <x v="1"/>
  </r>
  <r>
    <n v="1077"/>
    <x v="6"/>
    <s v="PIX-002"/>
    <x v="1"/>
    <d v="2019-07-03T00:00:00"/>
    <x v="1"/>
    <n v="282200"/>
    <x v="0"/>
  </r>
  <r>
    <n v="1078"/>
    <x v="10"/>
    <s v="ZTS-446"/>
    <x v="1"/>
    <d v="2019-06-25T00:00:00"/>
    <x v="0"/>
    <n v="10000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javítások_szervizek" cacheId="12" applyNumberFormats="0" applyBorderFormats="0" applyFontFormats="0" applyPatternFormats="0" applyAlignmentFormats="0" applyWidthHeightFormats="1" dataCaption="Értékek" updatedVersion="6" minRefreshableVersion="3" rowGrandTotals="0" colGrandTotals="0" itemPrintTitles="1" createdVersion="6" indent="0" compact="0" compactData="0" multipleFieldFilters="0">
  <location ref="B14:G33" firstHeaderRow="1" firstDataRow="2" firstDataCol="1" rowPageCount="2" colPageCount="1"/>
  <pivotFields count="8">
    <pivotField dataField="1" compact="0" outline="0" showAll="0"/>
    <pivotField axis="axisRow" compact="0" outline="0" showAll="0">
      <items count="19">
        <item x="10"/>
        <item x="15"/>
        <item x="0"/>
        <item x="1"/>
        <item x="14"/>
        <item x="11"/>
        <item x="3"/>
        <item x="5"/>
        <item x="6"/>
        <item x="12"/>
        <item x="9"/>
        <item x="7"/>
        <item x="8"/>
        <item x="4"/>
        <item x="17"/>
        <item x="13"/>
        <item x="16"/>
        <item x="2"/>
        <item t="default"/>
      </items>
    </pivotField>
    <pivotField compact="0" outline="0" showAll="0"/>
    <pivotField axis="axisCol" compact="0" outline="0" showAll="0">
      <items count="6">
        <item x="3"/>
        <item x="0"/>
        <item x="2"/>
        <item x="4"/>
        <item x="1"/>
        <item t="default"/>
      </items>
    </pivotField>
    <pivotField compact="0" numFmtId="165" outline="0" showAll="0"/>
    <pivotField axis="axisPage" compact="0" outline="0" showAll="0">
      <items count="3">
        <item x="1"/>
        <item x="0"/>
        <item t="default"/>
      </items>
    </pivotField>
    <pivotField compact="0" numFmtId="167" outline="0" showAll="0"/>
    <pivotField axis="axisPage" compact="0" outline="0" showAll="0">
      <items count="5">
        <item x="2"/>
        <item x="0"/>
        <item x="3"/>
        <item x="1"/>
        <item t="default"/>
      </items>
    </pivotField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3"/>
  </colFields>
  <colItems count="5">
    <i>
      <x/>
    </i>
    <i>
      <x v="1"/>
    </i>
    <i>
      <x v="2"/>
    </i>
    <i>
      <x v="3"/>
    </i>
    <i>
      <x v="4"/>
    </i>
  </colItems>
  <pageFields count="2">
    <pageField fld="5" hier="-1"/>
    <pageField fld="7" hier="-1"/>
  </pageFields>
  <dataFields count="1">
    <dataField name="javítások száma" fld="0" subtotal="count" baseField="0" baseItem="48884736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fehér_szőlők" cacheId="11" applyNumberFormats="0" applyBorderFormats="0" applyFontFormats="0" applyPatternFormats="0" applyAlignmentFormats="0" applyWidthHeightFormats="1" dataCaption="Értékek" updatedVersion="6" minRefreshableVersion="3" rowGrandTotals="0" colGrandTotals="0" itemPrintTitles="1" createdVersion="6" indent="0" compact="0" compactData="0" multipleFieldFilters="0">
  <location ref="J5:J57" firstHeaderRow="1" firstDataRow="1" firstDataCol="1" rowPageCount="1" colPageCount="1"/>
  <pivotFields count="7">
    <pivotField compact="0" outline="0" showAll="0"/>
    <pivotField compact="0" outline="0" showAll="0"/>
    <pivotField compact="0" outline="0" showAll="0"/>
    <pivotField axis="axisRow" compact="0" outline="0" showAll="0">
      <items count="71">
        <item x="42"/>
        <item x="57"/>
        <item x="35"/>
        <item x="8"/>
        <item x="65"/>
        <item x="19"/>
        <item x="11"/>
        <item x="7"/>
        <item x="52"/>
        <item x="13"/>
        <item x="53"/>
        <item x="51"/>
        <item x="50"/>
        <item x="33"/>
        <item x="45"/>
        <item x="49"/>
        <item x="60"/>
        <item x="59"/>
        <item x="15"/>
        <item x="48"/>
        <item x="29"/>
        <item x="32"/>
        <item x="10"/>
        <item x="20"/>
        <item x="27"/>
        <item x="0"/>
        <item x="68"/>
        <item x="55"/>
        <item x="31"/>
        <item x="69"/>
        <item x="43"/>
        <item x="37"/>
        <item x="2"/>
        <item x="56"/>
        <item x="22"/>
        <item x="9"/>
        <item x="39"/>
        <item x="12"/>
        <item x="38"/>
        <item x="16"/>
        <item x="30"/>
        <item x="14"/>
        <item x="62"/>
        <item x="3"/>
        <item x="41"/>
        <item x="47"/>
        <item x="40"/>
        <item x="34"/>
        <item x="28"/>
        <item x="23"/>
        <item x="67"/>
        <item x="61"/>
        <item x="6"/>
        <item x="5"/>
        <item x="63"/>
        <item x="25"/>
        <item x="46"/>
        <item x="24"/>
        <item x="64"/>
        <item x="54"/>
        <item x="58"/>
        <item x="21"/>
        <item x="26"/>
        <item x="17"/>
        <item x="4"/>
        <item x="66"/>
        <item x="44"/>
        <item x="36"/>
        <item x="18"/>
        <item x="1"/>
        <item t="default"/>
      </items>
    </pivotField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</pivotFields>
  <rowFields count="1">
    <field x="3"/>
  </rowFields>
  <rowItems count="52">
    <i>
      <x v="1"/>
    </i>
    <i>
      <x v="4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8"/>
    </i>
    <i>
      <x v="49"/>
    </i>
    <i>
      <x v="50"/>
    </i>
    <i>
      <x v="51"/>
    </i>
    <i>
      <x v="53"/>
    </i>
    <i>
      <x v="55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</rowItems>
  <colItems count="1">
    <i/>
  </colItems>
  <pageFields count="1">
    <pageField fld="4" item="0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vítások" displayName="javítások" ref="A1:H1079" totalsRowShown="0" headerRowDxfId="20" dataDxfId="18" headerRowBorderDxfId="19">
  <autoFilter ref="A1:H1079" xr:uid="{00000000-0009-0000-0100-000001000000}"/>
  <tableColumns count="8">
    <tableColumn id="1" xr3:uid="{00000000-0010-0000-0000-000001000000}" name="javítás AZ" dataDxfId="17"/>
    <tableColumn id="3" xr3:uid="{00000000-0010-0000-0000-000003000000}" name="típus" dataDxfId="16"/>
    <tableColumn id="4" xr3:uid="{00000000-0010-0000-0000-000004000000}" name="rendszám" dataDxfId="15"/>
    <tableColumn id="15" xr3:uid="{00000000-0010-0000-0000-00000F000000}" name="osztály" dataDxfId="14"/>
    <tableColumn id="9" xr3:uid="{00000000-0010-0000-0000-000009000000}" name="szervizbe" dataDxfId="13"/>
    <tableColumn id="11" xr3:uid="{00000000-0010-0000-0000-00000B000000}" name="sajáthibás" dataDxfId="12"/>
    <tableColumn id="7" xr3:uid="{00000000-0010-0000-0000-000007000000}" name="nettó" dataDxfId="11"/>
    <tableColumn id="14" xr3:uid="{00000000-0010-0000-0000-00000E000000}" name="szerviz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zőlő" displayName="szőlő" ref="A1:G442" totalsRowShown="0" headerRowDxfId="9" dataDxfId="7" headerRowBorderDxfId="8">
  <autoFilter ref="A1:G442" xr:uid="{00000000-0009-0000-0100-000002000000}"/>
  <tableColumns count="7">
    <tableColumn id="1" xr3:uid="{00000000-0010-0000-0100-000001000000}" name="ültetvény AZ" dataDxfId="6"/>
    <tableColumn id="2" xr3:uid="{00000000-0010-0000-0100-000002000000}" name="borrégió" dataDxfId="5"/>
    <tableColumn id="3" xr3:uid="{00000000-0010-0000-0100-000003000000}" name="borvidék" dataDxfId="4"/>
    <tableColumn id="4" xr3:uid="{00000000-0010-0000-0100-000004000000}" name="fajta" dataDxfId="3"/>
    <tableColumn id="5" xr3:uid="{00000000-0010-0000-0100-000005000000}" name="szín" dataDxfId="2"/>
    <tableColumn id="6" xr3:uid="{00000000-0010-0000-0100-000006000000}" name="szüret" dataDxfId="1"/>
    <tableColumn id="7" xr3:uid="{00000000-0010-0000-0100-000007000000}" name="terül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9"/>
  <sheetViews>
    <sheetView tabSelected="1" workbookViewId="0">
      <selection activeCell="C16" sqref="C16"/>
    </sheetView>
  </sheetViews>
  <sheetFormatPr defaultRowHeight="12" x14ac:dyDescent="0.2"/>
  <cols>
    <col min="1" max="1" width="12.83203125" customWidth="1"/>
    <col min="2" max="2" width="20.83203125" customWidth="1"/>
    <col min="3" max="7" width="12.83203125" customWidth="1"/>
    <col min="8" max="8" width="20.83203125" customWidth="1"/>
  </cols>
  <sheetData>
    <row r="1" spans="1:8" x14ac:dyDescent="0.2">
      <c r="A1" s="8" t="s">
        <v>212</v>
      </c>
      <c r="B1" s="2" t="s">
        <v>117</v>
      </c>
      <c r="C1" s="2" t="s">
        <v>116</v>
      </c>
      <c r="D1" s="2" t="s">
        <v>118</v>
      </c>
      <c r="E1" s="2" t="s">
        <v>213</v>
      </c>
      <c r="F1" s="2" t="s">
        <v>214</v>
      </c>
      <c r="G1" s="2" t="s">
        <v>215</v>
      </c>
      <c r="H1" s="2" t="s">
        <v>216</v>
      </c>
    </row>
    <row r="2" spans="1:8" x14ac:dyDescent="0.2">
      <c r="A2" s="9">
        <v>1</v>
      </c>
      <c r="B2" s="3" t="s">
        <v>120</v>
      </c>
      <c r="C2" s="3" t="s">
        <v>119</v>
      </c>
      <c r="D2" s="3" t="s">
        <v>121</v>
      </c>
      <c r="E2" s="10">
        <f ca="1">TODAY()-3670</f>
        <v>40552</v>
      </c>
      <c r="F2" s="4" t="b">
        <v>1</v>
      </c>
      <c r="G2" s="11">
        <v>265000</v>
      </c>
      <c r="H2" s="12" t="s">
        <v>217</v>
      </c>
    </row>
    <row r="3" spans="1:8" x14ac:dyDescent="0.2">
      <c r="A3" s="9">
        <v>2</v>
      </c>
      <c r="B3" s="3" t="s">
        <v>123</v>
      </c>
      <c r="C3" s="3" t="s">
        <v>122</v>
      </c>
      <c r="D3" s="3" t="s">
        <v>124</v>
      </c>
      <c r="E3" s="10">
        <f ca="1">TODAY()-3663</f>
        <v>40559</v>
      </c>
      <c r="F3" s="4" t="b">
        <v>0</v>
      </c>
      <c r="G3" s="11">
        <v>256000</v>
      </c>
      <c r="H3" s="12" t="s">
        <v>218</v>
      </c>
    </row>
    <row r="4" spans="1:8" x14ac:dyDescent="0.2">
      <c r="A4" s="9">
        <v>3</v>
      </c>
      <c r="B4" s="3" t="s">
        <v>129</v>
      </c>
      <c r="C4" s="3" t="s">
        <v>128</v>
      </c>
      <c r="D4" s="3" t="s">
        <v>124</v>
      </c>
      <c r="E4" s="10">
        <f ca="1">TODAY()-3659</f>
        <v>40563</v>
      </c>
      <c r="F4" s="4" t="b">
        <v>1</v>
      </c>
      <c r="G4" s="11">
        <v>244900</v>
      </c>
      <c r="H4" s="12" t="s">
        <v>217</v>
      </c>
    </row>
    <row r="5" spans="1:8" x14ac:dyDescent="0.2">
      <c r="A5" s="9">
        <v>4</v>
      </c>
      <c r="B5" s="3" t="s">
        <v>126</v>
      </c>
      <c r="C5" s="3" t="s">
        <v>125</v>
      </c>
      <c r="D5" s="3" t="s">
        <v>127</v>
      </c>
      <c r="E5" s="10">
        <f ca="1">TODAY()-3658</f>
        <v>40564</v>
      </c>
      <c r="F5" s="4" t="b">
        <v>0</v>
      </c>
      <c r="G5" s="11">
        <v>390200</v>
      </c>
      <c r="H5" s="12" t="s">
        <v>219</v>
      </c>
    </row>
    <row r="6" spans="1:8" x14ac:dyDescent="0.2">
      <c r="A6" s="9">
        <v>5</v>
      </c>
      <c r="B6" s="3" t="s">
        <v>129</v>
      </c>
      <c r="C6" s="3" t="s">
        <v>130</v>
      </c>
      <c r="D6" s="3" t="s">
        <v>131</v>
      </c>
      <c r="E6" s="10">
        <f ca="1">TODAY()-3647</f>
        <v>40575</v>
      </c>
      <c r="F6" s="4" t="b">
        <v>1</v>
      </c>
      <c r="G6" s="11">
        <v>246700</v>
      </c>
      <c r="H6" s="12" t="s">
        <v>218</v>
      </c>
    </row>
    <row r="7" spans="1:8" x14ac:dyDescent="0.2">
      <c r="A7" s="9">
        <v>6</v>
      </c>
      <c r="B7" s="3" t="s">
        <v>133</v>
      </c>
      <c r="C7" s="3" t="s">
        <v>132</v>
      </c>
      <c r="D7" s="3" t="s">
        <v>121</v>
      </c>
      <c r="E7" s="10">
        <f ca="1">TODAY()-3641</f>
        <v>40581</v>
      </c>
      <c r="F7" s="4" t="b">
        <v>0</v>
      </c>
      <c r="G7" s="11">
        <v>481900</v>
      </c>
      <c r="H7" s="12" t="s">
        <v>217</v>
      </c>
    </row>
    <row r="8" spans="1:8" x14ac:dyDescent="0.2">
      <c r="A8" s="9">
        <v>7</v>
      </c>
      <c r="B8" s="3" t="s">
        <v>129</v>
      </c>
      <c r="C8" s="3" t="s">
        <v>134</v>
      </c>
      <c r="D8" s="3" t="s">
        <v>135</v>
      </c>
      <c r="E8" s="10">
        <f ca="1">TODAY()-3640</f>
        <v>40582</v>
      </c>
      <c r="F8" s="4" t="b">
        <v>0</v>
      </c>
      <c r="G8" s="11">
        <v>243800</v>
      </c>
      <c r="H8" s="12" t="s">
        <v>220</v>
      </c>
    </row>
    <row r="9" spans="1:8" x14ac:dyDescent="0.2">
      <c r="A9" s="9">
        <v>8</v>
      </c>
      <c r="B9" s="3" t="s">
        <v>150</v>
      </c>
      <c r="C9" s="3" t="s">
        <v>136</v>
      </c>
      <c r="D9" s="3" t="s">
        <v>124</v>
      </c>
      <c r="E9" s="10">
        <f ca="1">TODAY()-3641</f>
        <v>40581</v>
      </c>
      <c r="F9" s="4" t="b">
        <v>0</v>
      </c>
      <c r="G9" s="11">
        <v>983800</v>
      </c>
      <c r="H9" s="12" t="s">
        <v>220</v>
      </c>
    </row>
    <row r="10" spans="1:8" x14ac:dyDescent="0.2">
      <c r="A10" s="9">
        <v>9</v>
      </c>
      <c r="B10" s="3" t="s">
        <v>139</v>
      </c>
      <c r="C10" s="3" t="s">
        <v>138</v>
      </c>
      <c r="D10" s="3" t="s">
        <v>135</v>
      </c>
      <c r="E10" s="10">
        <f ca="1">TODAY()-3634</f>
        <v>40588</v>
      </c>
      <c r="F10" s="4" t="b">
        <v>1</v>
      </c>
      <c r="G10" s="11">
        <v>271300</v>
      </c>
      <c r="H10" s="12" t="s">
        <v>220</v>
      </c>
    </row>
    <row r="11" spans="1:8" x14ac:dyDescent="0.2">
      <c r="A11" s="9">
        <v>10</v>
      </c>
      <c r="B11" s="3" t="s">
        <v>129</v>
      </c>
      <c r="C11" s="3" t="s">
        <v>140</v>
      </c>
      <c r="D11" s="3" t="s">
        <v>135</v>
      </c>
      <c r="E11" s="10">
        <f ca="1">TODAY()-3632</f>
        <v>40590</v>
      </c>
      <c r="F11" s="4" t="b">
        <v>0</v>
      </c>
      <c r="G11" s="11">
        <v>293700</v>
      </c>
      <c r="H11" s="12" t="s">
        <v>218</v>
      </c>
    </row>
    <row r="12" spans="1:8" x14ac:dyDescent="0.2">
      <c r="A12" s="9">
        <v>11</v>
      </c>
      <c r="B12" s="3" t="s">
        <v>129</v>
      </c>
      <c r="C12" s="3" t="s">
        <v>140</v>
      </c>
      <c r="D12" s="3" t="s">
        <v>135</v>
      </c>
      <c r="E12" s="10">
        <f ca="1">TODAY()-3640</f>
        <v>40582</v>
      </c>
      <c r="F12" s="4" t="b">
        <v>0</v>
      </c>
      <c r="G12" s="11">
        <v>441300</v>
      </c>
      <c r="H12" s="12" t="s">
        <v>218</v>
      </c>
    </row>
    <row r="13" spans="1:8" x14ac:dyDescent="0.2">
      <c r="A13" s="9">
        <v>12</v>
      </c>
      <c r="B13" s="3" t="s">
        <v>139</v>
      </c>
      <c r="C13" s="3" t="s">
        <v>141</v>
      </c>
      <c r="D13" s="3" t="s">
        <v>124</v>
      </c>
      <c r="E13" s="10">
        <f ca="1">TODAY()-3633</f>
        <v>40589</v>
      </c>
      <c r="F13" s="4" t="b">
        <v>1</v>
      </c>
      <c r="G13" s="11">
        <v>267800</v>
      </c>
      <c r="H13" s="12" t="s">
        <v>220</v>
      </c>
    </row>
    <row r="14" spans="1:8" x14ac:dyDescent="0.2">
      <c r="A14" s="9">
        <v>13</v>
      </c>
      <c r="B14" s="3" t="s">
        <v>143</v>
      </c>
      <c r="C14" s="3" t="s">
        <v>142</v>
      </c>
      <c r="D14" s="3" t="s">
        <v>121</v>
      </c>
      <c r="E14" s="10">
        <f ca="1">TODAY()-3630</f>
        <v>40592</v>
      </c>
      <c r="F14" s="4" t="b">
        <v>0</v>
      </c>
      <c r="G14" s="11">
        <v>275600</v>
      </c>
      <c r="H14" s="12" t="s">
        <v>220</v>
      </c>
    </row>
    <row r="15" spans="1:8" x14ac:dyDescent="0.2">
      <c r="A15" s="9">
        <v>14</v>
      </c>
      <c r="B15" s="3" t="s">
        <v>123</v>
      </c>
      <c r="C15" s="3" t="s">
        <v>144</v>
      </c>
      <c r="D15" s="3" t="s">
        <v>121</v>
      </c>
      <c r="E15" s="10">
        <f ca="1">TODAY()-3635</f>
        <v>40587</v>
      </c>
      <c r="F15" s="4" t="b">
        <v>1</v>
      </c>
      <c r="G15" s="11">
        <v>256600</v>
      </c>
      <c r="H15" s="12" t="s">
        <v>219</v>
      </c>
    </row>
    <row r="16" spans="1:8" x14ac:dyDescent="0.2">
      <c r="A16" s="9">
        <v>15</v>
      </c>
      <c r="B16" s="3" t="s">
        <v>139</v>
      </c>
      <c r="C16" s="3" t="s">
        <v>145</v>
      </c>
      <c r="D16" s="3" t="s">
        <v>124</v>
      </c>
      <c r="E16" s="10">
        <f ca="1">TODAY()-3628</f>
        <v>40594</v>
      </c>
      <c r="F16" s="4" t="b">
        <v>1</v>
      </c>
      <c r="G16" s="11">
        <v>354500</v>
      </c>
      <c r="H16" s="12" t="s">
        <v>217</v>
      </c>
    </row>
    <row r="17" spans="1:8" x14ac:dyDescent="0.2">
      <c r="A17" s="9">
        <v>16</v>
      </c>
      <c r="B17" s="3" t="s">
        <v>148</v>
      </c>
      <c r="C17" s="3" t="s">
        <v>147</v>
      </c>
      <c r="D17" s="3" t="s">
        <v>121</v>
      </c>
      <c r="E17" s="10">
        <f ca="1">TODAY()-3619</f>
        <v>40603</v>
      </c>
      <c r="F17" s="4" t="b">
        <v>0</v>
      </c>
      <c r="G17" s="11">
        <v>237800</v>
      </c>
      <c r="H17" s="12" t="s">
        <v>218</v>
      </c>
    </row>
    <row r="18" spans="1:8" x14ac:dyDescent="0.2">
      <c r="A18" s="9">
        <v>17</v>
      </c>
      <c r="B18" s="3" t="s">
        <v>150</v>
      </c>
      <c r="C18" s="3" t="s">
        <v>149</v>
      </c>
      <c r="D18" s="3" t="s">
        <v>124</v>
      </c>
      <c r="E18" s="10">
        <f ca="1">TODAY()-3620</f>
        <v>40602</v>
      </c>
      <c r="F18" s="4" t="b">
        <v>0</v>
      </c>
      <c r="G18" s="11">
        <v>356600</v>
      </c>
      <c r="H18" s="12" t="s">
        <v>217</v>
      </c>
    </row>
    <row r="19" spans="1:8" x14ac:dyDescent="0.2">
      <c r="A19" s="9">
        <v>18</v>
      </c>
      <c r="B19" s="3" t="s">
        <v>137</v>
      </c>
      <c r="C19" s="3" t="s">
        <v>151</v>
      </c>
      <c r="D19" s="3" t="s">
        <v>135</v>
      </c>
      <c r="E19" s="10">
        <f ca="1">TODAY()-3617</f>
        <v>40605</v>
      </c>
      <c r="F19" s="4" t="b">
        <v>0</v>
      </c>
      <c r="G19" s="11">
        <v>245100</v>
      </c>
      <c r="H19" s="12" t="s">
        <v>219</v>
      </c>
    </row>
    <row r="20" spans="1:8" x14ac:dyDescent="0.2">
      <c r="A20" s="9">
        <v>19</v>
      </c>
      <c r="B20" s="3" t="s">
        <v>129</v>
      </c>
      <c r="C20" s="3" t="s">
        <v>134</v>
      </c>
      <c r="D20" s="3" t="s">
        <v>135</v>
      </c>
      <c r="E20" s="10">
        <f ca="1">TODAY()-3612</f>
        <v>40610</v>
      </c>
      <c r="F20" s="4" t="b">
        <v>0</v>
      </c>
      <c r="G20" s="11">
        <v>283700</v>
      </c>
      <c r="H20" s="12" t="s">
        <v>220</v>
      </c>
    </row>
    <row r="21" spans="1:8" x14ac:dyDescent="0.2">
      <c r="A21" s="9">
        <v>20</v>
      </c>
      <c r="B21" s="3" t="s">
        <v>150</v>
      </c>
      <c r="C21" s="3" t="s">
        <v>152</v>
      </c>
      <c r="D21" s="3" t="s">
        <v>135</v>
      </c>
      <c r="E21" s="10">
        <f ca="1">TODAY()-3609</f>
        <v>40613</v>
      </c>
      <c r="F21" s="4" t="b">
        <v>0</v>
      </c>
      <c r="G21" s="11">
        <v>279000</v>
      </c>
      <c r="H21" s="12" t="s">
        <v>219</v>
      </c>
    </row>
    <row r="22" spans="1:8" x14ac:dyDescent="0.2">
      <c r="A22" s="9">
        <v>21</v>
      </c>
      <c r="B22" s="3" t="s">
        <v>133</v>
      </c>
      <c r="C22" s="3" t="s">
        <v>153</v>
      </c>
      <c r="D22" s="3" t="s">
        <v>135</v>
      </c>
      <c r="E22" s="10">
        <f ca="1">TODAY()-3604</f>
        <v>40618</v>
      </c>
      <c r="F22" s="4" t="b">
        <v>1</v>
      </c>
      <c r="G22" s="11">
        <v>285900</v>
      </c>
      <c r="H22" s="12" t="s">
        <v>218</v>
      </c>
    </row>
    <row r="23" spans="1:8" x14ac:dyDescent="0.2">
      <c r="A23" s="9">
        <v>22</v>
      </c>
      <c r="B23" s="3" t="s">
        <v>150</v>
      </c>
      <c r="C23" s="3" t="s">
        <v>152</v>
      </c>
      <c r="D23" s="3" t="s">
        <v>135</v>
      </c>
      <c r="E23" s="10">
        <f ca="1">TODAY()-3599</f>
        <v>40623</v>
      </c>
      <c r="F23" s="4" t="b">
        <v>1</v>
      </c>
      <c r="G23" s="11">
        <v>259900</v>
      </c>
      <c r="H23" s="12" t="s">
        <v>219</v>
      </c>
    </row>
    <row r="24" spans="1:8" x14ac:dyDescent="0.2">
      <c r="A24" s="9">
        <v>23</v>
      </c>
      <c r="B24" s="3" t="s">
        <v>155</v>
      </c>
      <c r="C24" s="3" t="s">
        <v>154</v>
      </c>
      <c r="D24" s="3" t="s">
        <v>124</v>
      </c>
      <c r="E24" s="10">
        <f ca="1">TODAY()-3603</f>
        <v>40619</v>
      </c>
      <c r="F24" s="4" t="b">
        <v>0</v>
      </c>
      <c r="G24" s="11">
        <v>255900</v>
      </c>
      <c r="H24" s="12" t="s">
        <v>220</v>
      </c>
    </row>
    <row r="25" spans="1:8" x14ac:dyDescent="0.2">
      <c r="A25" s="9">
        <v>24</v>
      </c>
      <c r="B25" s="3" t="s">
        <v>120</v>
      </c>
      <c r="C25" s="3" t="s">
        <v>156</v>
      </c>
      <c r="D25" s="3" t="s">
        <v>121</v>
      </c>
      <c r="E25" s="10">
        <f ca="1">TODAY()-3599</f>
        <v>40623</v>
      </c>
      <c r="F25" s="4" t="b">
        <v>0</v>
      </c>
      <c r="G25" s="11">
        <v>264500</v>
      </c>
      <c r="H25" s="12" t="s">
        <v>220</v>
      </c>
    </row>
    <row r="26" spans="1:8" x14ac:dyDescent="0.2">
      <c r="A26" s="9">
        <v>25</v>
      </c>
      <c r="B26" s="3" t="s">
        <v>158</v>
      </c>
      <c r="C26" s="3" t="s">
        <v>157</v>
      </c>
      <c r="D26" s="3" t="s">
        <v>127</v>
      </c>
      <c r="E26" s="10">
        <f ca="1">TODAY()-3591</f>
        <v>40631</v>
      </c>
      <c r="F26" s="4" t="b">
        <v>0</v>
      </c>
      <c r="G26" s="11">
        <v>486700</v>
      </c>
      <c r="H26" s="12" t="s">
        <v>219</v>
      </c>
    </row>
    <row r="27" spans="1:8" x14ac:dyDescent="0.2">
      <c r="A27" s="9">
        <v>26</v>
      </c>
      <c r="B27" s="3" t="s">
        <v>129</v>
      </c>
      <c r="C27" s="3" t="s">
        <v>159</v>
      </c>
      <c r="D27" s="3" t="s">
        <v>121</v>
      </c>
      <c r="E27" s="10">
        <f ca="1">TODAY()-3591</f>
        <v>40631</v>
      </c>
      <c r="F27" s="4" t="b">
        <v>0</v>
      </c>
      <c r="G27" s="11">
        <v>276800</v>
      </c>
      <c r="H27" s="12" t="s">
        <v>219</v>
      </c>
    </row>
    <row r="28" spans="1:8" x14ac:dyDescent="0.2">
      <c r="A28" s="9">
        <v>27</v>
      </c>
      <c r="B28" s="3" t="s">
        <v>146</v>
      </c>
      <c r="C28" s="3" t="s">
        <v>160</v>
      </c>
      <c r="D28" s="3" t="s">
        <v>121</v>
      </c>
      <c r="E28" s="10">
        <f ca="1">TODAY()-3582</f>
        <v>40640</v>
      </c>
      <c r="F28" s="4" t="b">
        <v>0</v>
      </c>
      <c r="G28" s="11">
        <v>440100</v>
      </c>
      <c r="H28" s="12" t="s">
        <v>218</v>
      </c>
    </row>
    <row r="29" spans="1:8" x14ac:dyDescent="0.2">
      <c r="A29" s="9">
        <v>28</v>
      </c>
      <c r="B29" s="3" t="s">
        <v>129</v>
      </c>
      <c r="C29" s="3" t="s">
        <v>161</v>
      </c>
      <c r="D29" s="3" t="s">
        <v>121</v>
      </c>
      <c r="E29" s="10">
        <f ca="1">TODAY()-3572</f>
        <v>40650</v>
      </c>
      <c r="F29" s="4" t="b">
        <v>1</v>
      </c>
      <c r="G29" s="11">
        <v>256600</v>
      </c>
      <c r="H29" s="12" t="s">
        <v>218</v>
      </c>
    </row>
    <row r="30" spans="1:8" x14ac:dyDescent="0.2">
      <c r="A30" s="9">
        <v>29</v>
      </c>
      <c r="B30" s="3" t="s">
        <v>163</v>
      </c>
      <c r="C30" s="3" t="s">
        <v>162</v>
      </c>
      <c r="D30" s="3" t="s">
        <v>127</v>
      </c>
      <c r="E30" s="10">
        <f ca="1">TODAY()-3575</f>
        <v>40647</v>
      </c>
      <c r="F30" s="4" t="b">
        <v>0</v>
      </c>
      <c r="G30" s="11">
        <v>260000</v>
      </c>
      <c r="H30" s="12" t="s">
        <v>217</v>
      </c>
    </row>
    <row r="31" spans="1:8" x14ac:dyDescent="0.2">
      <c r="A31" s="9">
        <v>30</v>
      </c>
      <c r="B31" s="3" t="s">
        <v>155</v>
      </c>
      <c r="C31" s="3" t="s">
        <v>164</v>
      </c>
      <c r="D31" s="3" t="s">
        <v>124</v>
      </c>
      <c r="E31" s="10">
        <f ca="1">TODAY()-3564</f>
        <v>40658</v>
      </c>
      <c r="F31" s="4" t="b">
        <v>1</v>
      </c>
      <c r="G31" s="11">
        <v>280500</v>
      </c>
      <c r="H31" s="12" t="s">
        <v>220</v>
      </c>
    </row>
    <row r="32" spans="1:8" x14ac:dyDescent="0.2">
      <c r="A32" s="9">
        <v>31</v>
      </c>
      <c r="B32" s="3" t="s">
        <v>150</v>
      </c>
      <c r="C32" s="3" t="s">
        <v>149</v>
      </c>
      <c r="D32" s="3" t="s">
        <v>124</v>
      </c>
      <c r="E32" s="10">
        <f ca="1">TODAY()-3571</f>
        <v>40651</v>
      </c>
      <c r="F32" s="4" t="b">
        <v>0</v>
      </c>
      <c r="G32" s="11">
        <v>258800</v>
      </c>
      <c r="H32" s="12" t="s">
        <v>217</v>
      </c>
    </row>
    <row r="33" spans="1:8" x14ac:dyDescent="0.2">
      <c r="A33" s="9">
        <v>32</v>
      </c>
      <c r="B33" s="3" t="s">
        <v>120</v>
      </c>
      <c r="C33" s="3" t="s">
        <v>165</v>
      </c>
      <c r="D33" s="3" t="s">
        <v>131</v>
      </c>
      <c r="E33" s="10">
        <f ca="1">TODAY()-3568</f>
        <v>40654</v>
      </c>
      <c r="F33" s="4" t="b">
        <v>1</v>
      </c>
      <c r="G33" s="11">
        <v>370400</v>
      </c>
      <c r="H33" s="12" t="s">
        <v>217</v>
      </c>
    </row>
    <row r="34" spans="1:8" x14ac:dyDescent="0.2">
      <c r="A34" s="9">
        <v>33</v>
      </c>
      <c r="B34" s="3" t="s">
        <v>150</v>
      </c>
      <c r="C34" s="3" t="s">
        <v>136</v>
      </c>
      <c r="D34" s="3" t="s">
        <v>124</v>
      </c>
      <c r="E34" s="10">
        <f ca="1">TODAY()-3566</f>
        <v>40656</v>
      </c>
      <c r="F34" s="4" t="b">
        <v>0</v>
      </c>
      <c r="G34" s="11">
        <v>340100</v>
      </c>
      <c r="H34" s="12" t="s">
        <v>220</v>
      </c>
    </row>
    <row r="35" spans="1:8" x14ac:dyDescent="0.2">
      <c r="A35" s="9">
        <v>34</v>
      </c>
      <c r="B35" s="3" t="s">
        <v>123</v>
      </c>
      <c r="C35" s="3" t="s">
        <v>144</v>
      </c>
      <c r="D35" s="3" t="s">
        <v>121</v>
      </c>
      <c r="E35" s="10">
        <f ca="1">TODAY()-3558</f>
        <v>40664</v>
      </c>
      <c r="F35" s="4" t="b">
        <v>1</v>
      </c>
      <c r="G35" s="11">
        <v>269200</v>
      </c>
      <c r="H35" s="12" t="s">
        <v>219</v>
      </c>
    </row>
    <row r="36" spans="1:8" x14ac:dyDescent="0.2">
      <c r="A36" s="9">
        <v>35</v>
      </c>
      <c r="B36" s="3" t="s">
        <v>148</v>
      </c>
      <c r="C36" s="3" t="s">
        <v>147</v>
      </c>
      <c r="D36" s="3" t="s">
        <v>121</v>
      </c>
      <c r="E36" s="10">
        <f ca="1">TODAY()-3558</f>
        <v>40664</v>
      </c>
      <c r="F36" s="4" t="b">
        <v>1</v>
      </c>
      <c r="G36" s="11">
        <v>460400</v>
      </c>
      <c r="H36" s="12" t="s">
        <v>218</v>
      </c>
    </row>
    <row r="37" spans="1:8" x14ac:dyDescent="0.2">
      <c r="A37" s="9">
        <v>36</v>
      </c>
      <c r="B37" s="3" t="s">
        <v>139</v>
      </c>
      <c r="C37" s="3" t="s">
        <v>145</v>
      </c>
      <c r="D37" s="3" t="s">
        <v>124</v>
      </c>
      <c r="E37" s="10">
        <f ca="1">TODAY()-3548</f>
        <v>40674</v>
      </c>
      <c r="F37" s="4" t="b">
        <v>0</v>
      </c>
      <c r="G37" s="11">
        <v>300000</v>
      </c>
      <c r="H37" s="12" t="s">
        <v>217</v>
      </c>
    </row>
    <row r="38" spans="1:8" x14ac:dyDescent="0.2">
      <c r="A38" s="9">
        <v>37</v>
      </c>
      <c r="B38" s="3" t="s">
        <v>133</v>
      </c>
      <c r="C38" s="3" t="s">
        <v>153</v>
      </c>
      <c r="D38" s="3" t="s">
        <v>135</v>
      </c>
      <c r="E38" s="10">
        <f ca="1">TODAY()-3556</f>
        <v>40666</v>
      </c>
      <c r="F38" s="4" t="b">
        <v>1</v>
      </c>
      <c r="G38" s="11">
        <v>250700</v>
      </c>
      <c r="H38" s="12" t="s">
        <v>218</v>
      </c>
    </row>
    <row r="39" spans="1:8" x14ac:dyDescent="0.2">
      <c r="A39" s="9">
        <v>38</v>
      </c>
      <c r="B39" s="3" t="s">
        <v>143</v>
      </c>
      <c r="C39" s="3" t="s">
        <v>166</v>
      </c>
      <c r="D39" s="3" t="s">
        <v>121</v>
      </c>
      <c r="E39" s="10">
        <f ca="1">TODAY()-3549</f>
        <v>40673</v>
      </c>
      <c r="F39" s="4" t="b">
        <v>0</v>
      </c>
      <c r="G39" s="11">
        <v>258800</v>
      </c>
      <c r="H39" s="12" t="s">
        <v>220</v>
      </c>
    </row>
    <row r="40" spans="1:8" x14ac:dyDescent="0.2">
      <c r="A40" s="9">
        <v>39</v>
      </c>
      <c r="B40" s="3" t="s">
        <v>120</v>
      </c>
      <c r="C40" s="3" t="s">
        <v>119</v>
      </c>
      <c r="D40" s="3" t="s">
        <v>121</v>
      </c>
      <c r="E40" s="10">
        <f ca="1">TODAY()-3551</f>
        <v>40671</v>
      </c>
      <c r="F40" s="4" t="b">
        <v>1</v>
      </c>
      <c r="G40" s="11">
        <v>266400</v>
      </c>
      <c r="H40" s="12" t="s">
        <v>217</v>
      </c>
    </row>
    <row r="41" spans="1:8" x14ac:dyDescent="0.2">
      <c r="A41" s="9">
        <v>40</v>
      </c>
      <c r="B41" s="3" t="s">
        <v>137</v>
      </c>
      <c r="C41" s="3" t="s">
        <v>167</v>
      </c>
      <c r="D41" s="3" t="s">
        <v>135</v>
      </c>
      <c r="E41" s="10">
        <f ca="1">TODAY()-3542</f>
        <v>40680</v>
      </c>
      <c r="F41" s="4" t="b">
        <v>0</v>
      </c>
      <c r="G41" s="11">
        <v>292500</v>
      </c>
      <c r="H41" s="12" t="s">
        <v>218</v>
      </c>
    </row>
    <row r="42" spans="1:8" x14ac:dyDescent="0.2">
      <c r="A42" s="9">
        <v>41</v>
      </c>
      <c r="B42" s="3" t="s">
        <v>133</v>
      </c>
      <c r="C42" s="3" t="s">
        <v>132</v>
      </c>
      <c r="D42" s="3" t="s">
        <v>121</v>
      </c>
      <c r="E42" s="10">
        <f ca="1">TODAY()-3542</f>
        <v>40680</v>
      </c>
      <c r="F42" s="4" t="b">
        <v>1</v>
      </c>
      <c r="G42" s="11">
        <v>364800</v>
      </c>
      <c r="H42" s="12" t="s">
        <v>217</v>
      </c>
    </row>
    <row r="43" spans="1:8" x14ac:dyDescent="0.2">
      <c r="A43" s="9">
        <v>42</v>
      </c>
      <c r="B43" s="3" t="s">
        <v>129</v>
      </c>
      <c r="C43" s="3" t="s">
        <v>161</v>
      </c>
      <c r="D43" s="3" t="s">
        <v>121</v>
      </c>
      <c r="E43" s="10">
        <f ca="1">TODAY()-3537</f>
        <v>40685</v>
      </c>
      <c r="F43" s="4" t="b">
        <v>0</v>
      </c>
      <c r="G43" s="11">
        <v>279000</v>
      </c>
      <c r="H43" s="12" t="s">
        <v>218</v>
      </c>
    </row>
    <row r="44" spans="1:8" x14ac:dyDescent="0.2">
      <c r="A44" s="9">
        <v>43</v>
      </c>
      <c r="B44" s="3" t="s">
        <v>143</v>
      </c>
      <c r="C44" s="3" t="s">
        <v>166</v>
      </c>
      <c r="D44" s="3" t="s">
        <v>121</v>
      </c>
      <c r="E44" s="10">
        <f ca="1">TODAY()-3534</f>
        <v>40688</v>
      </c>
      <c r="F44" s="4" t="b">
        <v>1</v>
      </c>
      <c r="G44" s="11">
        <v>784100</v>
      </c>
      <c r="H44" s="12" t="s">
        <v>220</v>
      </c>
    </row>
    <row r="45" spans="1:8" x14ac:dyDescent="0.2">
      <c r="A45" s="9">
        <v>44</v>
      </c>
      <c r="B45" s="3" t="s">
        <v>129</v>
      </c>
      <c r="C45" s="3" t="s">
        <v>134</v>
      </c>
      <c r="D45" s="3" t="s">
        <v>135</v>
      </c>
      <c r="E45" s="10">
        <f ca="1">TODAY()-3533</f>
        <v>40689</v>
      </c>
      <c r="F45" s="4" t="b">
        <v>1</v>
      </c>
      <c r="G45" s="11">
        <v>441000</v>
      </c>
      <c r="H45" s="12" t="s">
        <v>220</v>
      </c>
    </row>
    <row r="46" spans="1:8" x14ac:dyDescent="0.2">
      <c r="A46" s="9">
        <v>45</v>
      </c>
      <c r="B46" s="3" t="s">
        <v>129</v>
      </c>
      <c r="C46" s="3" t="s">
        <v>130</v>
      </c>
      <c r="D46" s="3" t="s">
        <v>131</v>
      </c>
      <c r="E46" s="10">
        <f ca="1">TODAY()-3529</f>
        <v>40693</v>
      </c>
      <c r="F46" s="4" t="b">
        <v>1</v>
      </c>
      <c r="G46" s="11">
        <v>238500</v>
      </c>
      <c r="H46" s="12" t="s">
        <v>218</v>
      </c>
    </row>
    <row r="47" spans="1:8" x14ac:dyDescent="0.2">
      <c r="A47" s="9">
        <v>46</v>
      </c>
      <c r="B47" s="3" t="s">
        <v>150</v>
      </c>
      <c r="C47" s="3" t="s">
        <v>168</v>
      </c>
      <c r="D47" s="3" t="s">
        <v>124</v>
      </c>
      <c r="E47" s="10">
        <f ca="1">TODAY()-3530</f>
        <v>40692</v>
      </c>
      <c r="F47" s="4" t="b">
        <v>0</v>
      </c>
      <c r="G47" s="11">
        <v>1037000</v>
      </c>
      <c r="H47" s="12" t="s">
        <v>218</v>
      </c>
    </row>
    <row r="48" spans="1:8" x14ac:dyDescent="0.2">
      <c r="A48" s="9">
        <v>47</v>
      </c>
      <c r="B48" s="3" t="s">
        <v>150</v>
      </c>
      <c r="C48" s="3" t="s">
        <v>149</v>
      </c>
      <c r="D48" s="3" t="s">
        <v>124</v>
      </c>
      <c r="E48" s="10">
        <f ca="1">TODAY()-3521</f>
        <v>40701</v>
      </c>
      <c r="F48" s="4" t="b">
        <v>1</v>
      </c>
      <c r="G48" s="11">
        <v>251300</v>
      </c>
      <c r="H48" s="12" t="s">
        <v>217</v>
      </c>
    </row>
    <row r="49" spans="1:8" x14ac:dyDescent="0.2">
      <c r="A49" s="9">
        <v>48</v>
      </c>
      <c r="B49" s="3" t="s">
        <v>129</v>
      </c>
      <c r="C49" s="3" t="s">
        <v>130</v>
      </c>
      <c r="D49" s="3" t="s">
        <v>131</v>
      </c>
      <c r="E49" s="10">
        <f ca="1">TODAY()-3525</f>
        <v>40697</v>
      </c>
      <c r="F49" s="4" t="b">
        <v>0</v>
      </c>
      <c r="G49" s="11">
        <v>278600</v>
      </c>
      <c r="H49" s="12" t="s">
        <v>218</v>
      </c>
    </row>
    <row r="50" spans="1:8" x14ac:dyDescent="0.2">
      <c r="A50" s="9">
        <v>49</v>
      </c>
      <c r="B50" s="3" t="s">
        <v>137</v>
      </c>
      <c r="C50" s="3" t="s">
        <v>169</v>
      </c>
      <c r="D50" s="3" t="s">
        <v>135</v>
      </c>
      <c r="E50" s="10">
        <f ca="1">TODAY()-3521</f>
        <v>40701</v>
      </c>
      <c r="F50" s="4" t="b">
        <v>0</v>
      </c>
      <c r="G50" s="11">
        <v>456400</v>
      </c>
      <c r="H50" s="12" t="s">
        <v>218</v>
      </c>
    </row>
    <row r="51" spans="1:8" x14ac:dyDescent="0.2">
      <c r="A51" s="9">
        <v>50</v>
      </c>
      <c r="B51" s="3" t="s">
        <v>120</v>
      </c>
      <c r="C51" s="3" t="s">
        <v>170</v>
      </c>
      <c r="D51" s="3" t="s">
        <v>121</v>
      </c>
      <c r="E51" s="10">
        <f ca="1">TODAY()-3505</f>
        <v>40717</v>
      </c>
      <c r="F51" s="4" t="b">
        <v>0</v>
      </c>
      <c r="G51" s="11">
        <v>259200</v>
      </c>
      <c r="H51" s="12" t="s">
        <v>220</v>
      </c>
    </row>
    <row r="52" spans="1:8" x14ac:dyDescent="0.2">
      <c r="A52" s="9">
        <v>51</v>
      </c>
      <c r="B52" s="3" t="s">
        <v>123</v>
      </c>
      <c r="C52" s="3" t="s">
        <v>144</v>
      </c>
      <c r="D52" s="3" t="s">
        <v>121</v>
      </c>
      <c r="E52" s="10">
        <f ca="1">TODAY()-3505</f>
        <v>40717</v>
      </c>
      <c r="F52" s="4" t="b">
        <v>0</v>
      </c>
      <c r="G52" s="11">
        <v>286100</v>
      </c>
      <c r="H52" s="12" t="s">
        <v>219</v>
      </c>
    </row>
    <row r="53" spans="1:8" x14ac:dyDescent="0.2">
      <c r="A53" s="9">
        <v>52</v>
      </c>
      <c r="B53" s="3" t="s">
        <v>129</v>
      </c>
      <c r="C53" s="3" t="s">
        <v>130</v>
      </c>
      <c r="D53" s="3" t="s">
        <v>131</v>
      </c>
      <c r="E53" s="10">
        <f ca="1">TODAY()-3510</f>
        <v>40712</v>
      </c>
      <c r="F53" s="4" t="b">
        <v>0</v>
      </c>
      <c r="G53" s="11">
        <v>266100</v>
      </c>
      <c r="H53" s="12" t="s">
        <v>218</v>
      </c>
    </row>
    <row r="54" spans="1:8" x14ac:dyDescent="0.2">
      <c r="A54" s="9">
        <v>53</v>
      </c>
      <c r="B54" s="3" t="s">
        <v>133</v>
      </c>
      <c r="C54" s="3" t="s">
        <v>171</v>
      </c>
      <c r="D54" s="3" t="s">
        <v>131</v>
      </c>
      <c r="E54" s="10">
        <f ca="1">TODAY()-3510</f>
        <v>40712</v>
      </c>
      <c r="F54" s="4" t="b">
        <v>1</v>
      </c>
      <c r="G54" s="11">
        <v>843700</v>
      </c>
      <c r="H54" s="12" t="s">
        <v>217</v>
      </c>
    </row>
    <row r="55" spans="1:8" x14ac:dyDescent="0.2">
      <c r="A55" s="9">
        <v>54</v>
      </c>
      <c r="B55" s="3" t="s">
        <v>148</v>
      </c>
      <c r="C55" s="3" t="s">
        <v>172</v>
      </c>
      <c r="D55" s="3" t="s">
        <v>121</v>
      </c>
      <c r="E55" s="10">
        <f ca="1">TODAY()-3507</f>
        <v>40715</v>
      </c>
      <c r="F55" s="4" t="b">
        <v>0</v>
      </c>
      <c r="G55" s="11">
        <v>305700</v>
      </c>
      <c r="H55" s="12" t="s">
        <v>218</v>
      </c>
    </row>
    <row r="56" spans="1:8" x14ac:dyDescent="0.2">
      <c r="A56" s="9">
        <v>55</v>
      </c>
      <c r="B56" s="3" t="s">
        <v>126</v>
      </c>
      <c r="C56" s="3" t="s">
        <v>125</v>
      </c>
      <c r="D56" s="3" t="s">
        <v>127</v>
      </c>
      <c r="E56" s="10">
        <f ca="1">TODAY()-3492</f>
        <v>40730</v>
      </c>
      <c r="F56" s="4" t="b">
        <v>0</v>
      </c>
      <c r="G56" s="11">
        <v>658300</v>
      </c>
      <c r="H56" s="12" t="s">
        <v>219</v>
      </c>
    </row>
    <row r="57" spans="1:8" x14ac:dyDescent="0.2">
      <c r="A57" s="9">
        <v>56</v>
      </c>
      <c r="B57" s="3" t="s">
        <v>139</v>
      </c>
      <c r="C57" s="3" t="s">
        <v>138</v>
      </c>
      <c r="D57" s="3" t="s">
        <v>135</v>
      </c>
      <c r="E57" s="10">
        <f ca="1">TODAY()-3483</f>
        <v>40739</v>
      </c>
      <c r="F57" s="4" t="b">
        <v>1</v>
      </c>
      <c r="G57" s="11">
        <v>269900</v>
      </c>
      <c r="H57" s="12" t="s">
        <v>220</v>
      </c>
    </row>
    <row r="58" spans="1:8" x14ac:dyDescent="0.2">
      <c r="A58" s="9">
        <v>57</v>
      </c>
      <c r="B58" s="3" t="s">
        <v>155</v>
      </c>
      <c r="C58" s="3" t="s">
        <v>174</v>
      </c>
      <c r="D58" s="3" t="s">
        <v>131</v>
      </c>
      <c r="E58" s="10">
        <f ca="1">TODAY()-3485</f>
        <v>40737</v>
      </c>
      <c r="F58" s="4" t="b">
        <v>1</v>
      </c>
      <c r="G58" s="11">
        <v>246700</v>
      </c>
      <c r="H58" s="12" t="s">
        <v>220</v>
      </c>
    </row>
    <row r="59" spans="1:8" x14ac:dyDescent="0.2">
      <c r="A59" s="9">
        <v>58</v>
      </c>
      <c r="B59" s="3" t="s">
        <v>120</v>
      </c>
      <c r="C59" s="3" t="s">
        <v>119</v>
      </c>
      <c r="D59" s="3" t="s">
        <v>121</v>
      </c>
      <c r="E59" s="10">
        <f ca="1">TODAY()-3485</f>
        <v>40737</v>
      </c>
      <c r="F59" s="4" t="b">
        <v>0</v>
      </c>
      <c r="G59" s="11">
        <v>758600</v>
      </c>
      <c r="H59" s="12" t="s">
        <v>217</v>
      </c>
    </row>
    <row r="60" spans="1:8" x14ac:dyDescent="0.2">
      <c r="A60" s="9">
        <v>59</v>
      </c>
      <c r="B60" s="3" t="s">
        <v>150</v>
      </c>
      <c r="C60" s="3" t="s">
        <v>175</v>
      </c>
      <c r="D60" s="3" t="s">
        <v>121</v>
      </c>
      <c r="E60" s="10">
        <f ca="1">TODAY()-3478</f>
        <v>40744</v>
      </c>
      <c r="F60" s="4" t="b">
        <v>1</v>
      </c>
      <c r="G60" s="11">
        <v>270100</v>
      </c>
      <c r="H60" s="12" t="s">
        <v>220</v>
      </c>
    </row>
    <row r="61" spans="1:8" x14ac:dyDescent="0.2">
      <c r="A61" s="9">
        <v>60</v>
      </c>
      <c r="B61" s="3" t="s">
        <v>146</v>
      </c>
      <c r="C61" s="3" t="s">
        <v>177</v>
      </c>
      <c r="D61" s="3" t="s">
        <v>124</v>
      </c>
      <c r="E61" s="10">
        <f ca="1">TODAY()-3484</f>
        <v>40738</v>
      </c>
      <c r="F61" s="4" t="b">
        <v>1</v>
      </c>
      <c r="G61" s="11">
        <v>291000</v>
      </c>
      <c r="H61" s="12" t="s">
        <v>217</v>
      </c>
    </row>
    <row r="62" spans="1:8" x14ac:dyDescent="0.2">
      <c r="A62" s="9">
        <v>61</v>
      </c>
      <c r="B62" s="3" t="s">
        <v>139</v>
      </c>
      <c r="C62" s="3" t="s">
        <v>176</v>
      </c>
      <c r="D62" s="3" t="s">
        <v>121</v>
      </c>
      <c r="E62" s="10">
        <f ca="1">TODAY()-3484</f>
        <v>40738</v>
      </c>
      <c r="F62" s="4" t="b">
        <v>1</v>
      </c>
      <c r="G62" s="11">
        <v>1063100</v>
      </c>
      <c r="H62" s="12" t="s">
        <v>217</v>
      </c>
    </row>
    <row r="63" spans="1:8" x14ac:dyDescent="0.2">
      <c r="A63" s="9">
        <v>62</v>
      </c>
      <c r="B63" s="3" t="s">
        <v>146</v>
      </c>
      <c r="C63" s="3" t="s">
        <v>177</v>
      </c>
      <c r="D63" s="3" t="s">
        <v>124</v>
      </c>
      <c r="E63" s="10">
        <f ca="1">TODAY()-3480</f>
        <v>40742</v>
      </c>
      <c r="F63" s="4" t="b">
        <v>0</v>
      </c>
      <c r="G63" s="11">
        <v>328900</v>
      </c>
      <c r="H63" s="12" t="s">
        <v>217</v>
      </c>
    </row>
    <row r="64" spans="1:8" x14ac:dyDescent="0.2">
      <c r="A64" s="9">
        <v>63</v>
      </c>
      <c r="B64" s="3" t="s">
        <v>150</v>
      </c>
      <c r="C64" s="3" t="s">
        <v>178</v>
      </c>
      <c r="D64" s="3" t="s">
        <v>121</v>
      </c>
      <c r="E64" s="10">
        <f ca="1">TODAY()-3478</f>
        <v>40744</v>
      </c>
      <c r="F64" s="4" t="b">
        <v>0</v>
      </c>
      <c r="G64" s="11">
        <v>339700</v>
      </c>
      <c r="H64" s="12" t="s">
        <v>219</v>
      </c>
    </row>
    <row r="65" spans="1:8" x14ac:dyDescent="0.2">
      <c r="A65" s="9">
        <v>64</v>
      </c>
      <c r="B65" s="3" t="s">
        <v>180</v>
      </c>
      <c r="C65" s="3" t="s">
        <v>179</v>
      </c>
      <c r="D65" s="3" t="s">
        <v>127</v>
      </c>
      <c r="E65" s="10">
        <f ca="1">TODAY()-3471</f>
        <v>40751</v>
      </c>
      <c r="F65" s="4" t="b">
        <v>0</v>
      </c>
      <c r="G65" s="11">
        <v>293200</v>
      </c>
      <c r="H65" s="12" t="s">
        <v>220</v>
      </c>
    </row>
    <row r="66" spans="1:8" x14ac:dyDescent="0.2">
      <c r="A66" s="9">
        <v>65</v>
      </c>
      <c r="B66" s="3" t="s">
        <v>137</v>
      </c>
      <c r="C66" s="3" t="s">
        <v>167</v>
      </c>
      <c r="D66" s="3" t="s">
        <v>135</v>
      </c>
      <c r="E66" s="10">
        <f ca="1">TODAY()-3470</f>
        <v>40752</v>
      </c>
      <c r="F66" s="4" t="b">
        <v>0</v>
      </c>
      <c r="G66" s="11">
        <v>818400</v>
      </c>
      <c r="H66" s="12" t="s">
        <v>218</v>
      </c>
    </row>
    <row r="67" spans="1:8" x14ac:dyDescent="0.2">
      <c r="A67" s="9">
        <v>66</v>
      </c>
      <c r="B67" s="3" t="s">
        <v>143</v>
      </c>
      <c r="C67" s="3" t="s">
        <v>181</v>
      </c>
      <c r="D67" s="3" t="s">
        <v>121</v>
      </c>
      <c r="E67" s="10">
        <f ca="1">TODAY()-3468</f>
        <v>40754</v>
      </c>
      <c r="F67" s="4" t="b">
        <v>0</v>
      </c>
      <c r="G67" s="11">
        <v>1094300</v>
      </c>
      <c r="H67" s="12" t="s">
        <v>218</v>
      </c>
    </row>
    <row r="68" spans="1:8" x14ac:dyDescent="0.2">
      <c r="A68" s="9">
        <v>67</v>
      </c>
      <c r="B68" s="3" t="s">
        <v>137</v>
      </c>
      <c r="C68" s="3" t="s">
        <v>169</v>
      </c>
      <c r="D68" s="3" t="s">
        <v>135</v>
      </c>
      <c r="E68" s="10">
        <f ca="1">TODAY()-3460</f>
        <v>40762</v>
      </c>
      <c r="F68" s="4" t="b">
        <v>0</v>
      </c>
      <c r="G68" s="11">
        <v>268200</v>
      </c>
      <c r="H68" s="12" t="s">
        <v>218</v>
      </c>
    </row>
    <row r="69" spans="1:8" x14ac:dyDescent="0.2">
      <c r="A69" s="9">
        <v>68</v>
      </c>
      <c r="B69" s="3" t="s">
        <v>146</v>
      </c>
      <c r="C69" s="3" t="s">
        <v>160</v>
      </c>
      <c r="D69" s="3" t="s">
        <v>121</v>
      </c>
      <c r="E69" s="10">
        <f ca="1">TODAY()-3458</f>
        <v>40764</v>
      </c>
      <c r="F69" s="4" t="b">
        <v>0</v>
      </c>
      <c r="G69" s="11">
        <v>274200</v>
      </c>
      <c r="H69" s="12" t="s">
        <v>218</v>
      </c>
    </row>
    <row r="70" spans="1:8" x14ac:dyDescent="0.2">
      <c r="A70" s="9">
        <v>69</v>
      </c>
      <c r="B70" s="3" t="s">
        <v>146</v>
      </c>
      <c r="C70" s="3" t="s">
        <v>182</v>
      </c>
      <c r="D70" s="3" t="s">
        <v>121</v>
      </c>
      <c r="E70" s="10">
        <f ca="1">TODAY()-3455</f>
        <v>40767</v>
      </c>
      <c r="F70" s="4" t="b">
        <v>0</v>
      </c>
      <c r="G70" s="11">
        <v>487400</v>
      </c>
      <c r="H70" s="12" t="s">
        <v>218</v>
      </c>
    </row>
    <row r="71" spans="1:8" x14ac:dyDescent="0.2">
      <c r="A71" s="9">
        <v>70</v>
      </c>
      <c r="B71" s="3" t="s">
        <v>126</v>
      </c>
      <c r="C71" s="3" t="s">
        <v>183</v>
      </c>
      <c r="D71" s="3" t="s">
        <v>127</v>
      </c>
      <c r="E71" s="10">
        <f ca="1">TODAY()-3451</f>
        <v>40771</v>
      </c>
      <c r="F71" s="4" t="b">
        <v>0</v>
      </c>
      <c r="G71" s="11">
        <v>421600</v>
      </c>
      <c r="H71" s="12" t="s">
        <v>218</v>
      </c>
    </row>
    <row r="72" spans="1:8" x14ac:dyDescent="0.2">
      <c r="A72" s="9">
        <v>71</v>
      </c>
      <c r="B72" s="3" t="s">
        <v>148</v>
      </c>
      <c r="C72" s="3" t="s">
        <v>147</v>
      </c>
      <c r="D72" s="3" t="s">
        <v>121</v>
      </c>
      <c r="E72" s="10">
        <f ca="1">TODAY()-3446</f>
        <v>40776</v>
      </c>
      <c r="F72" s="4" t="b">
        <v>0</v>
      </c>
      <c r="G72" s="11">
        <v>389400</v>
      </c>
      <c r="H72" s="12" t="s">
        <v>218</v>
      </c>
    </row>
    <row r="73" spans="1:8" x14ac:dyDescent="0.2">
      <c r="A73" s="9">
        <v>72</v>
      </c>
      <c r="B73" s="3" t="s">
        <v>146</v>
      </c>
      <c r="C73" s="3" t="s">
        <v>182</v>
      </c>
      <c r="D73" s="3" t="s">
        <v>121</v>
      </c>
      <c r="E73" s="10">
        <f ca="1">TODAY()-3435</f>
        <v>40787</v>
      </c>
      <c r="F73" s="4" t="b">
        <v>0</v>
      </c>
      <c r="G73" s="11">
        <v>239700</v>
      </c>
      <c r="H73" s="12" t="s">
        <v>218</v>
      </c>
    </row>
    <row r="74" spans="1:8" x14ac:dyDescent="0.2">
      <c r="A74" s="9">
        <v>73</v>
      </c>
      <c r="B74" s="3" t="s">
        <v>155</v>
      </c>
      <c r="C74" s="3" t="s">
        <v>164</v>
      </c>
      <c r="D74" s="3" t="s">
        <v>124</v>
      </c>
      <c r="E74" s="10">
        <f ca="1">TODAY()-3433</f>
        <v>40789</v>
      </c>
      <c r="F74" s="4" t="b">
        <v>1</v>
      </c>
      <c r="G74" s="11">
        <v>279300</v>
      </c>
      <c r="H74" s="12" t="s">
        <v>220</v>
      </c>
    </row>
    <row r="75" spans="1:8" x14ac:dyDescent="0.2">
      <c r="A75" s="9">
        <v>74</v>
      </c>
      <c r="B75" s="3" t="s">
        <v>158</v>
      </c>
      <c r="C75" s="3" t="s">
        <v>184</v>
      </c>
      <c r="D75" s="3" t="s">
        <v>127</v>
      </c>
      <c r="E75" s="10">
        <f ca="1">TODAY()-3432</f>
        <v>40790</v>
      </c>
      <c r="F75" s="4" t="b">
        <v>0</v>
      </c>
      <c r="G75" s="11">
        <v>849700</v>
      </c>
      <c r="H75" s="12" t="s">
        <v>220</v>
      </c>
    </row>
    <row r="76" spans="1:8" x14ac:dyDescent="0.2">
      <c r="A76" s="9">
        <v>75</v>
      </c>
      <c r="B76" s="3" t="s">
        <v>173</v>
      </c>
      <c r="C76" s="3" t="s">
        <v>185</v>
      </c>
      <c r="D76" s="3" t="s">
        <v>131</v>
      </c>
      <c r="E76" s="10">
        <f ca="1">TODAY()-3424</f>
        <v>40798</v>
      </c>
      <c r="F76" s="4" t="b">
        <v>0</v>
      </c>
      <c r="G76" s="11">
        <v>270300</v>
      </c>
      <c r="H76" s="12" t="s">
        <v>217</v>
      </c>
    </row>
    <row r="77" spans="1:8" x14ac:dyDescent="0.2">
      <c r="A77" s="9">
        <v>76</v>
      </c>
      <c r="B77" s="3" t="s">
        <v>133</v>
      </c>
      <c r="C77" s="3" t="s">
        <v>171</v>
      </c>
      <c r="D77" s="3" t="s">
        <v>131</v>
      </c>
      <c r="E77" s="10">
        <f ca="1">TODAY()-3424</f>
        <v>40798</v>
      </c>
      <c r="F77" s="4" t="b">
        <v>0</v>
      </c>
      <c r="G77" s="11">
        <v>265500</v>
      </c>
      <c r="H77" s="12" t="s">
        <v>217</v>
      </c>
    </row>
    <row r="78" spans="1:8" x14ac:dyDescent="0.2">
      <c r="A78" s="9">
        <v>77</v>
      </c>
      <c r="B78" s="3" t="s">
        <v>129</v>
      </c>
      <c r="C78" s="3" t="s">
        <v>140</v>
      </c>
      <c r="D78" s="3" t="s">
        <v>135</v>
      </c>
      <c r="E78" s="10">
        <f ca="1">TODAY()-3418</f>
        <v>40804</v>
      </c>
      <c r="F78" s="4" t="b">
        <v>1</v>
      </c>
      <c r="G78" s="13">
        <v>618500</v>
      </c>
      <c r="H78" s="12" t="s">
        <v>218</v>
      </c>
    </row>
    <row r="79" spans="1:8" x14ac:dyDescent="0.2">
      <c r="A79" s="9">
        <v>78</v>
      </c>
      <c r="B79" s="3" t="s">
        <v>146</v>
      </c>
      <c r="C79" s="3" t="s">
        <v>160</v>
      </c>
      <c r="D79" s="3" t="s">
        <v>121</v>
      </c>
      <c r="E79" s="10">
        <f ca="1">TODAY()-3412</f>
        <v>40810</v>
      </c>
      <c r="F79" s="4" t="b">
        <v>1</v>
      </c>
      <c r="G79" s="13">
        <v>603900</v>
      </c>
      <c r="H79" s="12" t="s">
        <v>218</v>
      </c>
    </row>
    <row r="80" spans="1:8" x14ac:dyDescent="0.2">
      <c r="A80" s="9">
        <v>79</v>
      </c>
      <c r="B80" s="3" t="s">
        <v>173</v>
      </c>
      <c r="C80" s="3" t="s">
        <v>185</v>
      </c>
      <c r="D80" s="3" t="s">
        <v>131</v>
      </c>
      <c r="E80" s="10">
        <f ca="1">TODAY()-3409</f>
        <v>40813</v>
      </c>
      <c r="F80" s="4" t="b">
        <v>0</v>
      </c>
      <c r="G80" s="11">
        <v>278900</v>
      </c>
      <c r="H80" s="12" t="s">
        <v>217</v>
      </c>
    </row>
    <row r="81" spans="1:8" x14ac:dyDescent="0.2">
      <c r="A81" s="9">
        <v>80</v>
      </c>
      <c r="B81" s="3" t="s">
        <v>148</v>
      </c>
      <c r="C81" s="3" t="s">
        <v>147</v>
      </c>
      <c r="D81" s="3" t="s">
        <v>121</v>
      </c>
      <c r="E81" s="10">
        <f ca="1">TODAY()-3412</f>
        <v>40810</v>
      </c>
      <c r="F81" s="4" t="b">
        <v>1</v>
      </c>
      <c r="G81" s="11">
        <v>379100</v>
      </c>
      <c r="H81" s="12" t="s">
        <v>218</v>
      </c>
    </row>
    <row r="82" spans="1:8" x14ac:dyDescent="0.2">
      <c r="A82" s="9">
        <v>81</v>
      </c>
      <c r="B82" s="3" t="s">
        <v>155</v>
      </c>
      <c r="C82" s="3" t="s">
        <v>186</v>
      </c>
      <c r="D82" s="3" t="s">
        <v>135</v>
      </c>
      <c r="E82" s="10">
        <f ca="1">TODAY()-3412</f>
        <v>40810</v>
      </c>
      <c r="F82" s="4" t="b">
        <v>0</v>
      </c>
      <c r="G82" s="11">
        <v>380400</v>
      </c>
      <c r="H82" s="12" t="s">
        <v>219</v>
      </c>
    </row>
    <row r="83" spans="1:8" x14ac:dyDescent="0.2">
      <c r="A83" s="9">
        <v>82</v>
      </c>
      <c r="B83" s="3" t="s">
        <v>120</v>
      </c>
      <c r="C83" s="3" t="s">
        <v>170</v>
      </c>
      <c r="D83" s="3" t="s">
        <v>121</v>
      </c>
      <c r="E83" s="10">
        <f ca="1">TODAY()-3399</f>
        <v>40823</v>
      </c>
      <c r="F83" s="4" t="b">
        <v>0</v>
      </c>
      <c r="G83" s="11">
        <v>297600</v>
      </c>
      <c r="H83" s="12" t="s">
        <v>220</v>
      </c>
    </row>
    <row r="84" spans="1:8" x14ac:dyDescent="0.2">
      <c r="A84" s="9">
        <v>83</v>
      </c>
      <c r="B84" s="3" t="s">
        <v>146</v>
      </c>
      <c r="C84" s="3" t="s">
        <v>160</v>
      </c>
      <c r="D84" s="3" t="s">
        <v>121</v>
      </c>
      <c r="E84" s="10">
        <f ca="1">TODAY()-3395</f>
        <v>40827</v>
      </c>
      <c r="F84" s="4" t="b">
        <v>0</v>
      </c>
      <c r="G84" s="11">
        <v>295200</v>
      </c>
      <c r="H84" s="12" t="s">
        <v>218</v>
      </c>
    </row>
    <row r="85" spans="1:8" x14ac:dyDescent="0.2">
      <c r="A85" s="9">
        <v>84</v>
      </c>
      <c r="B85" s="3" t="s">
        <v>123</v>
      </c>
      <c r="C85" s="3" t="s">
        <v>144</v>
      </c>
      <c r="D85" s="3" t="s">
        <v>121</v>
      </c>
      <c r="E85" s="10">
        <f ca="1">TODAY()-3390</f>
        <v>40832</v>
      </c>
      <c r="F85" s="4" t="b">
        <v>0</v>
      </c>
      <c r="G85" s="11">
        <v>284300</v>
      </c>
      <c r="H85" s="12" t="s">
        <v>219</v>
      </c>
    </row>
    <row r="86" spans="1:8" x14ac:dyDescent="0.2">
      <c r="A86" s="9">
        <v>85</v>
      </c>
      <c r="B86" s="3" t="s">
        <v>150</v>
      </c>
      <c r="C86" s="3" t="s">
        <v>136</v>
      </c>
      <c r="D86" s="3" t="s">
        <v>124</v>
      </c>
      <c r="E86" s="10">
        <f ca="1">TODAY()-3400</f>
        <v>40822</v>
      </c>
      <c r="F86" s="4" t="b">
        <v>0</v>
      </c>
      <c r="G86" s="11">
        <v>439100</v>
      </c>
      <c r="H86" s="12" t="s">
        <v>220</v>
      </c>
    </row>
    <row r="87" spans="1:8" x14ac:dyDescent="0.2">
      <c r="A87" s="9">
        <v>86</v>
      </c>
      <c r="B87" s="3" t="s">
        <v>120</v>
      </c>
      <c r="C87" s="3" t="s">
        <v>156</v>
      </c>
      <c r="D87" s="3" t="s">
        <v>121</v>
      </c>
      <c r="E87" s="10">
        <f ca="1">TODAY()-3392</f>
        <v>40830</v>
      </c>
      <c r="F87" s="4" t="b">
        <v>1</v>
      </c>
      <c r="G87" s="11">
        <v>1094400</v>
      </c>
      <c r="H87" s="12" t="s">
        <v>220</v>
      </c>
    </row>
    <row r="88" spans="1:8" x14ac:dyDescent="0.2">
      <c r="A88" s="9">
        <v>87</v>
      </c>
      <c r="B88" s="3" t="s">
        <v>148</v>
      </c>
      <c r="C88" s="3" t="s">
        <v>187</v>
      </c>
      <c r="D88" s="3" t="s">
        <v>131</v>
      </c>
      <c r="E88" s="10">
        <f ca="1">TODAY()-3391</f>
        <v>40831</v>
      </c>
      <c r="F88" s="4" t="b">
        <v>0</v>
      </c>
      <c r="G88" s="11">
        <v>263700</v>
      </c>
      <c r="H88" s="12" t="s">
        <v>218</v>
      </c>
    </row>
    <row r="89" spans="1:8" x14ac:dyDescent="0.2">
      <c r="A89" s="9">
        <v>88</v>
      </c>
      <c r="B89" s="3" t="s">
        <v>146</v>
      </c>
      <c r="C89" s="3" t="s">
        <v>188</v>
      </c>
      <c r="D89" s="3" t="s">
        <v>121</v>
      </c>
      <c r="E89" s="10">
        <f ca="1">TODAY()-3376</f>
        <v>40846</v>
      </c>
      <c r="F89" s="4" t="b">
        <v>0</v>
      </c>
      <c r="G89" s="11">
        <v>323500</v>
      </c>
      <c r="H89" s="12" t="s">
        <v>218</v>
      </c>
    </row>
    <row r="90" spans="1:8" x14ac:dyDescent="0.2">
      <c r="A90" s="9">
        <v>89</v>
      </c>
      <c r="B90" s="3" t="s">
        <v>173</v>
      </c>
      <c r="C90" s="3" t="s">
        <v>185</v>
      </c>
      <c r="D90" s="3" t="s">
        <v>131</v>
      </c>
      <c r="E90" s="10">
        <f ca="1">TODAY()-3366</f>
        <v>40856</v>
      </c>
      <c r="F90" s="4" t="b">
        <v>0</v>
      </c>
      <c r="G90" s="11">
        <v>300000</v>
      </c>
      <c r="H90" s="12" t="s">
        <v>217</v>
      </c>
    </row>
    <row r="91" spans="1:8" x14ac:dyDescent="0.2">
      <c r="A91" s="9">
        <v>90</v>
      </c>
      <c r="B91" s="3" t="s">
        <v>133</v>
      </c>
      <c r="C91" s="3" t="s">
        <v>153</v>
      </c>
      <c r="D91" s="3" t="s">
        <v>135</v>
      </c>
      <c r="E91" s="10">
        <f ca="1">TODAY()-3368</f>
        <v>40854</v>
      </c>
      <c r="F91" s="4" t="b">
        <v>1</v>
      </c>
      <c r="G91" s="11">
        <v>486200</v>
      </c>
      <c r="H91" s="12" t="s">
        <v>218</v>
      </c>
    </row>
    <row r="92" spans="1:8" x14ac:dyDescent="0.2">
      <c r="A92" s="9">
        <v>91</v>
      </c>
      <c r="B92" s="3" t="s">
        <v>146</v>
      </c>
      <c r="C92" s="3" t="s">
        <v>160</v>
      </c>
      <c r="D92" s="3" t="s">
        <v>121</v>
      </c>
      <c r="E92" s="10">
        <f ca="1">TODAY()-3370</f>
        <v>40852</v>
      </c>
      <c r="F92" s="4" t="b">
        <v>0</v>
      </c>
      <c r="G92" s="11">
        <v>281200</v>
      </c>
      <c r="H92" s="12" t="s">
        <v>218</v>
      </c>
    </row>
    <row r="93" spans="1:8" x14ac:dyDescent="0.2">
      <c r="A93" s="9">
        <v>92</v>
      </c>
      <c r="B93" s="3" t="s">
        <v>133</v>
      </c>
      <c r="C93" s="3" t="s">
        <v>132</v>
      </c>
      <c r="D93" s="3" t="s">
        <v>121</v>
      </c>
      <c r="E93" s="10">
        <f ca="1">TODAY()-3371</f>
        <v>40851</v>
      </c>
      <c r="F93" s="4" t="b">
        <v>1</v>
      </c>
      <c r="G93" s="11">
        <v>294400</v>
      </c>
      <c r="H93" s="12" t="s">
        <v>217</v>
      </c>
    </row>
    <row r="94" spans="1:8" x14ac:dyDescent="0.2">
      <c r="A94" s="9">
        <v>93</v>
      </c>
      <c r="B94" s="3" t="s">
        <v>155</v>
      </c>
      <c r="C94" s="3" t="s">
        <v>154</v>
      </c>
      <c r="D94" s="3" t="s">
        <v>124</v>
      </c>
      <c r="E94" s="10">
        <f ca="1">TODAY()-3363</f>
        <v>40859</v>
      </c>
      <c r="F94" s="4" t="b">
        <v>0</v>
      </c>
      <c r="G94" s="11">
        <v>418800</v>
      </c>
      <c r="H94" s="12" t="s">
        <v>220</v>
      </c>
    </row>
    <row r="95" spans="1:8" x14ac:dyDescent="0.2">
      <c r="A95" s="9">
        <v>94</v>
      </c>
      <c r="B95" s="3" t="s">
        <v>129</v>
      </c>
      <c r="C95" s="3" t="s">
        <v>128</v>
      </c>
      <c r="D95" s="3" t="s">
        <v>124</v>
      </c>
      <c r="E95" s="10">
        <f ca="1">TODAY()-3351</f>
        <v>40871</v>
      </c>
      <c r="F95" s="4" t="b">
        <v>1</v>
      </c>
      <c r="G95" s="11">
        <v>870800</v>
      </c>
      <c r="H95" s="12" t="s">
        <v>217</v>
      </c>
    </row>
    <row r="96" spans="1:8" x14ac:dyDescent="0.2">
      <c r="A96" s="9">
        <v>95</v>
      </c>
      <c r="B96" s="3" t="s">
        <v>163</v>
      </c>
      <c r="C96" s="3" t="s">
        <v>162</v>
      </c>
      <c r="D96" s="3" t="s">
        <v>127</v>
      </c>
      <c r="E96" s="10">
        <f ca="1">TODAY()-3342</f>
        <v>40880</v>
      </c>
      <c r="F96" s="4" t="b">
        <v>1</v>
      </c>
      <c r="G96" s="11">
        <v>899600</v>
      </c>
      <c r="H96" s="12" t="s">
        <v>217</v>
      </c>
    </row>
    <row r="97" spans="1:8" x14ac:dyDescent="0.2">
      <c r="A97" s="9">
        <v>96</v>
      </c>
      <c r="B97" s="3" t="s">
        <v>148</v>
      </c>
      <c r="C97" s="3" t="s">
        <v>147</v>
      </c>
      <c r="D97" s="3" t="s">
        <v>121</v>
      </c>
      <c r="E97" s="10">
        <f ca="1">TODAY()-3337</f>
        <v>40885</v>
      </c>
      <c r="F97" s="4" t="b">
        <v>0</v>
      </c>
      <c r="G97" s="11">
        <v>825500</v>
      </c>
      <c r="H97" s="12" t="s">
        <v>218</v>
      </c>
    </row>
    <row r="98" spans="1:8" x14ac:dyDescent="0.2">
      <c r="A98" s="9">
        <v>97</v>
      </c>
      <c r="B98" s="3" t="s">
        <v>123</v>
      </c>
      <c r="C98" s="3" t="s">
        <v>189</v>
      </c>
      <c r="D98" s="3" t="s">
        <v>121</v>
      </c>
      <c r="E98" s="10">
        <f ca="1">TODAY()-3335</f>
        <v>40887</v>
      </c>
      <c r="F98" s="4" t="b">
        <v>1</v>
      </c>
      <c r="G98" s="11">
        <v>238100</v>
      </c>
      <c r="H98" s="12" t="s">
        <v>218</v>
      </c>
    </row>
    <row r="99" spans="1:8" x14ac:dyDescent="0.2">
      <c r="A99" s="9">
        <v>98</v>
      </c>
      <c r="B99" s="3" t="s">
        <v>180</v>
      </c>
      <c r="C99" s="3" t="s">
        <v>179</v>
      </c>
      <c r="D99" s="3" t="s">
        <v>127</v>
      </c>
      <c r="E99" s="10">
        <f ca="1">TODAY()-3331</f>
        <v>40891</v>
      </c>
      <c r="F99" s="4" t="b">
        <v>0</v>
      </c>
      <c r="G99" s="11">
        <v>484800</v>
      </c>
      <c r="H99" s="12" t="s">
        <v>220</v>
      </c>
    </row>
    <row r="100" spans="1:8" x14ac:dyDescent="0.2">
      <c r="A100" s="9">
        <v>99</v>
      </c>
      <c r="B100" s="3" t="s">
        <v>146</v>
      </c>
      <c r="C100" s="3" t="s">
        <v>177</v>
      </c>
      <c r="D100" s="3" t="s">
        <v>124</v>
      </c>
      <c r="E100" s="10">
        <f ca="1">TODAY()-3321</f>
        <v>40901</v>
      </c>
      <c r="F100" s="4" t="b">
        <v>0</v>
      </c>
      <c r="G100" s="11">
        <v>243900</v>
      </c>
      <c r="H100" s="12" t="s">
        <v>217</v>
      </c>
    </row>
    <row r="101" spans="1:8" x14ac:dyDescent="0.2">
      <c r="A101" s="9">
        <v>100</v>
      </c>
      <c r="B101" s="3" t="s">
        <v>150</v>
      </c>
      <c r="C101" s="3" t="s">
        <v>168</v>
      </c>
      <c r="D101" s="3" t="s">
        <v>124</v>
      </c>
      <c r="E101" s="10">
        <f ca="1">TODAY()-3321</f>
        <v>40901</v>
      </c>
      <c r="F101" s="4" t="b">
        <v>0</v>
      </c>
      <c r="G101" s="11">
        <v>273800</v>
      </c>
      <c r="H101" s="12" t="s">
        <v>218</v>
      </c>
    </row>
    <row r="102" spans="1:8" x14ac:dyDescent="0.2">
      <c r="A102" s="9">
        <v>101</v>
      </c>
      <c r="B102" s="3" t="s">
        <v>139</v>
      </c>
      <c r="C102" s="3" t="s">
        <v>138</v>
      </c>
      <c r="D102" s="3" t="s">
        <v>135</v>
      </c>
      <c r="E102" s="10">
        <f ca="1">TODAY()-3320</f>
        <v>40902</v>
      </c>
      <c r="F102" s="4" t="b">
        <v>1</v>
      </c>
      <c r="G102" s="11">
        <v>288100</v>
      </c>
      <c r="H102" s="12" t="s">
        <v>220</v>
      </c>
    </row>
    <row r="103" spans="1:8" x14ac:dyDescent="0.2">
      <c r="A103" s="9">
        <v>102</v>
      </c>
      <c r="B103" s="3" t="s">
        <v>129</v>
      </c>
      <c r="C103" s="3" t="s">
        <v>140</v>
      </c>
      <c r="D103" s="3" t="s">
        <v>135</v>
      </c>
      <c r="E103" s="10">
        <f ca="1">TODAY()-3323</f>
        <v>40899</v>
      </c>
      <c r="F103" s="4" t="b">
        <v>0</v>
      </c>
      <c r="G103" s="11">
        <v>483500</v>
      </c>
      <c r="H103" s="12" t="s">
        <v>218</v>
      </c>
    </row>
    <row r="104" spans="1:8" x14ac:dyDescent="0.2">
      <c r="A104" s="9">
        <v>103</v>
      </c>
      <c r="B104" s="3" t="s">
        <v>191</v>
      </c>
      <c r="C104" s="3" t="s">
        <v>190</v>
      </c>
      <c r="D104" s="3" t="s">
        <v>124</v>
      </c>
      <c r="E104" s="10">
        <f ca="1">TODAY()-3326</f>
        <v>40896</v>
      </c>
      <c r="F104" s="4" t="b">
        <v>0</v>
      </c>
      <c r="G104" s="11">
        <v>235100</v>
      </c>
      <c r="H104" s="12" t="s">
        <v>217</v>
      </c>
    </row>
    <row r="105" spans="1:8" x14ac:dyDescent="0.2">
      <c r="A105" s="9">
        <v>104</v>
      </c>
      <c r="B105" s="3" t="s">
        <v>146</v>
      </c>
      <c r="C105" s="3" t="s">
        <v>160</v>
      </c>
      <c r="D105" s="3" t="s">
        <v>121</v>
      </c>
      <c r="E105" s="10">
        <f ca="1">TODAY()-3316</f>
        <v>40906</v>
      </c>
      <c r="F105" s="4" t="b">
        <v>1</v>
      </c>
      <c r="G105" s="11">
        <v>368600</v>
      </c>
      <c r="H105" s="12" t="s">
        <v>218</v>
      </c>
    </row>
    <row r="106" spans="1:8" x14ac:dyDescent="0.2">
      <c r="A106" s="9">
        <v>105</v>
      </c>
      <c r="B106" s="3" t="s">
        <v>139</v>
      </c>
      <c r="C106" s="3" t="s">
        <v>145</v>
      </c>
      <c r="D106" s="3" t="s">
        <v>124</v>
      </c>
      <c r="E106" s="10">
        <f ca="1">TODAY()-3312</f>
        <v>40910</v>
      </c>
      <c r="F106" s="4" t="b">
        <v>0</v>
      </c>
      <c r="G106" s="11">
        <v>275700</v>
      </c>
      <c r="H106" s="12" t="s">
        <v>217</v>
      </c>
    </row>
    <row r="107" spans="1:8" x14ac:dyDescent="0.2">
      <c r="A107" s="9">
        <v>106</v>
      </c>
      <c r="B107" s="3" t="s">
        <v>139</v>
      </c>
      <c r="C107" s="3" t="s">
        <v>176</v>
      </c>
      <c r="D107" s="3" t="s">
        <v>121</v>
      </c>
      <c r="E107" s="10">
        <f ca="1">TODAY()-3299</f>
        <v>40923</v>
      </c>
      <c r="F107" s="4" t="b">
        <v>0</v>
      </c>
      <c r="G107" s="11">
        <v>292100</v>
      </c>
      <c r="H107" s="12" t="s">
        <v>217</v>
      </c>
    </row>
    <row r="108" spans="1:8" x14ac:dyDescent="0.2">
      <c r="A108" s="9">
        <v>107</v>
      </c>
      <c r="B108" s="3" t="s">
        <v>129</v>
      </c>
      <c r="C108" s="3" t="s">
        <v>134</v>
      </c>
      <c r="D108" s="3" t="s">
        <v>135</v>
      </c>
      <c r="E108" s="10">
        <f ca="1">TODAY()-3301</f>
        <v>40921</v>
      </c>
      <c r="F108" s="4" t="b">
        <v>0</v>
      </c>
      <c r="G108" s="11">
        <v>290400</v>
      </c>
      <c r="H108" s="12" t="s">
        <v>220</v>
      </c>
    </row>
    <row r="109" spans="1:8" x14ac:dyDescent="0.2">
      <c r="A109" s="9">
        <v>108</v>
      </c>
      <c r="B109" s="3" t="s">
        <v>150</v>
      </c>
      <c r="C109" s="3" t="s">
        <v>175</v>
      </c>
      <c r="D109" s="3" t="s">
        <v>121</v>
      </c>
      <c r="E109" s="10">
        <f ca="1">TODAY()-3299</f>
        <v>40923</v>
      </c>
      <c r="F109" s="4" t="b">
        <v>1</v>
      </c>
      <c r="G109" s="11">
        <v>390300</v>
      </c>
      <c r="H109" s="12" t="s">
        <v>220</v>
      </c>
    </row>
    <row r="110" spans="1:8" x14ac:dyDescent="0.2">
      <c r="A110" s="9">
        <v>109</v>
      </c>
      <c r="B110" s="3" t="s">
        <v>139</v>
      </c>
      <c r="C110" s="3" t="s">
        <v>192</v>
      </c>
      <c r="D110" s="3" t="s">
        <v>121</v>
      </c>
      <c r="E110" s="10">
        <f ca="1">TODAY()-3299</f>
        <v>40923</v>
      </c>
      <c r="F110" s="4" t="b">
        <v>0</v>
      </c>
      <c r="G110" s="11">
        <v>246800</v>
      </c>
      <c r="H110" s="12" t="s">
        <v>219</v>
      </c>
    </row>
    <row r="111" spans="1:8" x14ac:dyDescent="0.2">
      <c r="A111" s="9">
        <v>110</v>
      </c>
      <c r="B111" s="3" t="s">
        <v>120</v>
      </c>
      <c r="C111" s="3" t="s">
        <v>119</v>
      </c>
      <c r="D111" s="3" t="s">
        <v>121</v>
      </c>
      <c r="E111" s="10">
        <f ca="1">TODAY()-3297</f>
        <v>40925</v>
      </c>
      <c r="F111" s="4" t="b">
        <v>0</v>
      </c>
      <c r="G111" s="11">
        <v>870300</v>
      </c>
      <c r="H111" s="12" t="s">
        <v>217</v>
      </c>
    </row>
    <row r="112" spans="1:8" x14ac:dyDescent="0.2">
      <c r="A112" s="9">
        <v>111</v>
      </c>
      <c r="B112" s="3" t="s">
        <v>191</v>
      </c>
      <c r="C112" s="3" t="s">
        <v>190</v>
      </c>
      <c r="D112" s="3" t="s">
        <v>124</v>
      </c>
      <c r="E112" s="10">
        <f ca="1">TODAY()-3294</f>
        <v>40928</v>
      </c>
      <c r="F112" s="4" t="b">
        <v>0</v>
      </c>
      <c r="G112" s="11">
        <v>406500</v>
      </c>
      <c r="H112" s="12" t="s">
        <v>217</v>
      </c>
    </row>
    <row r="113" spans="1:8" x14ac:dyDescent="0.2">
      <c r="A113" s="9">
        <v>112</v>
      </c>
      <c r="B113" s="3" t="s">
        <v>139</v>
      </c>
      <c r="C113" s="3" t="s">
        <v>176</v>
      </c>
      <c r="D113" s="3" t="s">
        <v>121</v>
      </c>
      <c r="E113" s="10">
        <f ca="1">TODAY()-3287</f>
        <v>40935</v>
      </c>
      <c r="F113" s="4" t="b">
        <v>1</v>
      </c>
      <c r="G113" s="11">
        <v>240400</v>
      </c>
      <c r="H113" s="12" t="s">
        <v>217</v>
      </c>
    </row>
    <row r="114" spans="1:8" x14ac:dyDescent="0.2">
      <c r="A114" s="9">
        <v>113</v>
      </c>
      <c r="B114" s="3" t="s">
        <v>155</v>
      </c>
      <c r="C114" s="3" t="s">
        <v>193</v>
      </c>
      <c r="D114" s="3" t="s">
        <v>124</v>
      </c>
      <c r="E114" s="10">
        <f ca="1">TODAY()-3293</f>
        <v>40929</v>
      </c>
      <c r="F114" s="4" t="b">
        <v>0</v>
      </c>
      <c r="G114" s="11">
        <v>906500</v>
      </c>
      <c r="H114" s="12" t="s">
        <v>218</v>
      </c>
    </row>
    <row r="115" spans="1:8" x14ac:dyDescent="0.2">
      <c r="A115" s="9">
        <v>114</v>
      </c>
      <c r="B115" s="3" t="s">
        <v>120</v>
      </c>
      <c r="C115" s="3" t="s">
        <v>170</v>
      </c>
      <c r="D115" s="3" t="s">
        <v>121</v>
      </c>
      <c r="E115" s="10">
        <f ca="1">TODAY()-3289</f>
        <v>40933</v>
      </c>
      <c r="F115" s="4" t="b">
        <v>0</v>
      </c>
      <c r="G115" s="11">
        <v>345700</v>
      </c>
      <c r="H115" s="12" t="s">
        <v>220</v>
      </c>
    </row>
    <row r="116" spans="1:8" x14ac:dyDescent="0.2">
      <c r="A116" s="9">
        <v>115</v>
      </c>
      <c r="B116" s="3" t="s">
        <v>143</v>
      </c>
      <c r="C116" s="3" t="s">
        <v>166</v>
      </c>
      <c r="D116" s="3" t="s">
        <v>121</v>
      </c>
      <c r="E116" s="10">
        <f ca="1">TODAY()-3285</f>
        <v>40937</v>
      </c>
      <c r="F116" s="4" t="b">
        <v>1</v>
      </c>
      <c r="G116" s="11">
        <v>656800</v>
      </c>
      <c r="H116" s="12" t="s">
        <v>220</v>
      </c>
    </row>
    <row r="117" spans="1:8" x14ac:dyDescent="0.2">
      <c r="A117" s="9">
        <v>116</v>
      </c>
      <c r="B117" s="3" t="s">
        <v>126</v>
      </c>
      <c r="C117" s="3" t="s">
        <v>183</v>
      </c>
      <c r="D117" s="3" t="s">
        <v>127</v>
      </c>
      <c r="E117" s="10">
        <f ca="1">TODAY()-3276</f>
        <v>40946</v>
      </c>
      <c r="F117" s="4" t="b">
        <v>0</v>
      </c>
      <c r="G117" s="11">
        <v>399100</v>
      </c>
      <c r="H117" s="12" t="s">
        <v>218</v>
      </c>
    </row>
    <row r="118" spans="1:8" x14ac:dyDescent="0.2">
      <c r="A118" s="9">
        <v>117</v>
      </c>
      <c r="B118" s="3" t="s">
        <v>155</v>
      </c>
      <c r="C118" s="3" t="s">
        <v>154</v>
      </c>
      <c r="D118" s="3" t="s">
        <v>124</v>
      </c>
      <c r="E118" s="10">
        <f ca="1">TODAY()-3270</f>
        <v>40952</v>
      </c>
      <c r="F118" s="4" t="b">
        <v>0</v>
      </c>
      <c r="G118" s="11">
        <v>913500</v>
      </c>
      <c r="H118" s="12" t="s">
        <v>220</v>
      </c>
    </row>
    <row r="119" spans="1:8" x14ac:dyDescent="0.2">
      <c r="A119" s="9">
        <v>118</v>
      </c>
      <c r="B119" s="3" t="s">
        <v>139</v>
      </c>
      <c r="C119" s="3" t="s">
        <v>194</v>
      </c>
      <c r="D119" s="3" t="s">
        <v>121</v>
      </c>
      <c r="E119" s="10">
        <f ca="1">TODAY()-3268</f>
        <v>40954</v>
      </c>
      <c r="F119" s="4" t="b">
        <v>0</v>
      </c>
      <c r="G119" s="11">
        <v>359100</v>
      </c>
      <c r="H119" s="12" t="s">
        <v>217</v>
      </c>
    </row>
    <row r="120" spans="1:8" x14ac:dyDescent="0.2">
      <c r="A120" s="9">
        <v>119</v>
      </c>
      <c r="B120" s="3" t="s">
        <v>120</v>
      </c>
      <c r="C120" s="3" t="s">
        <v>195</v>
      </c>
      <c r="D120" s="3" t="s">
        <v>121</v>
      </c>
      <c r="E120" s="10">
        <f ca="1">TODAY()-3262</f>
        <v>40960</v>
      </c>
      <c r="F120" s="4" t="b">
        <v>1</v>
      </c>
      <c r="G120" s="11">
        <v>626100</v>
      </c>
      <c r="H120" s="12" t="s">
        <v>219</v>
      </c>
    </row>
    <row r="121" spans="1:8" x14ac:dyDescent="0.2">
      <c r="A121" s="9">
        <v>120</v>
      </c>
      <c r="B121" s="3" t="s">
        <v>155</v>
      </c>
      <c r="C121" s="3" t="s">
        <v>164</v>
      </c>
      <c r="D121" s="3" t="s">
        <v>124</v>
      </c>
      <c r="E121" s="10">
        <f ca="1">TODAY()-3258</f>
        <v>40964</v>
      </c>
      <c r="F121" s="4" t="b">
        <v>1</v>
      </c>
      <c r="G121" s="11">
        <v>308500</v>
      </c>
      <c r="H121" s="12" t="s">
        <v>220</v>
      </c>
    </row>
    <row r="122" spans="1:8" x14ac:dyDescent="0.2">
      <c r="A122" s="9">
        <v>121</v>
      </c>
      <c r="B122" s="3" t="s">
        <v>123</v>
      </c>
      <c r="C122" s="3" t="s">
        <v>144</v>
      </c>
      <c r="D122" s="3" t="s">
        <v>121</v>
      </c>
      <c r="E122" s="10">
        <f ca="1">TODAY()-3255</f>
        <v>40967</v>
      </c>
      <c r="F122" s="4" t="b">
        <v>0</v>
      </c>
      <c r="G122" s="11">
        <v>346800</v>
      </c>
      <c r="H122" s="12" t="s">
        <v>219</v>
      </c>
    </row>
    <row r="123" spans="1:8" x14ac:dyDescent="0.2">
      <c r="A123" s="9">
        <v>122</v>
      </c>
      <c r="B123" s="3" t="s">
        <v>143</v>
      </c>
      <c r="C123" s="3" t="s">
        <v>166</v>
      </c>
      <c r="D123" s="3" t="s">
        <v>121</v>
      </c>
      <c r="E123" s="10">
        <f ca="1">TODAY()-3245</f>
        <v>40977</v>
      </c>
      <c r="F123" s="4" t="b">
        <v>0</v>
      </c>
      <c r="G123" s="11">
        <v>956900</v>
      </c>
      <c r="H123" s="12" t="s">
        <v>220</v>
      </c>
    </row>
    <row r="124" spans="1:8" x14ac:dyDescent="0.2">
      <c r="A124" s="9">
        <v>123</v>
      </c>
      <c r="B124" s="3" t="s">
        <v>123</v>
      </c>
      <c r="C124" s="3" t="s">
        <v>189</v>
      </c>
      <c r="D124" s="3" t="s">
        <v>121</v>
      </c>
      <c r="E124" s="10">
        <f ca="1">TODAY()-3243</f>
        <v>40979</v>
      </c>
      <c r="F124" s="4" t="b">
        <v>0</v>
      </c>
      <c r="G124" s="11">
        <v>784500</v>
      </c>
      <c r="H124" s="12" t="s">
        <v>218</v>
      </c>
    </row>
    <row r="125" spans="1:8" x14ac:dyDescent="0.2">
      <c r="A125" s="9">
        <v>124</v>
      </c>
      <c r="B125" s="3" t="s">
        <v>129</v>
      </c>
      <c r="C125" s="3" t="s">
        <v>134</v>
      </c>
      <c r="D125" s="3" t="s">
        <v>135</v>
      </c>
      <c r="E125" s="10">
        <f ca="1">TODAY()-3235</f>
        <v>40987</v>
      </c>
      <c r="F125" s="4" t="b">
        <v>0</v>
      </c>
      <c r="G125" s="11">
        <v>291700</v>
      </c>
      <c r="H125" s="12" t="s">
        <v>220</v>
      </c>
    </row>
    <row r="126" spans="1:8" x14ac:dyDescent="0.2">
      <c r="A126" s="9">
        <v>125</v>
      </c>
      <c r="B126" s="3" t="s">
        <v>197</v>
      </c>
      <c r="C126" s="3" t="s">
        <v>196</v>
      </c>
      <c r="D126" s="3" t="s">
        <v>124</v>
      </c>
      <c r="E126" s="10">
        <f ca="1">TODAY()-3230</f>
        <v>40992</v>
      </c>
      <c r="F126" s="4" t="b">
        <v>1</v>
      </c>
      <c r="G126" s="11">
        <v>300500</v>
      </c>
      <c r="H126" s="12" t="s">
        <v>219</v>
      </c>
    </row>
    <row r="127" spans="1:8" x14ac:dyDescent="0.2">
      <c r="A127" s="9">
        <v>126</v>
      </c>
      <c r="B127" s="3" t="s">
        <v>146</v>
      </c>
      <c r="C127" s="3" t="s">
        <v>177</v>
      </c>
      <c r="D127" s="3" t="s">
        <v>124</v>
      </c>
      <c r="E127" s="10">
        <f ca="1">TODAY()-3234</f>
        <v>40988</v>
      </c>
      <c r="F127" s="4" t="b">
        <v>0</v>
      </c>
      <c r="G127" s="11">
        <v>467400</v>
      </c>
      <c r="H127" s="12" t="s">
        <v>217</v>
      </c>
    </row>
    <row r="128" spans="1:8" x14ac:dyDescent="0.2">
      <c r="A128" s="9">
        <v>127</v>
      </c>
      <c r="B128" s="3" t="s">
        <v>139</v>
      </c>
      <c r="C128" s="3" t="s">
        <v>194</v>
      </c>
      <c r="D128" s="3" t="s">
        <v>121</v>
      </c>
      <c r="E128" s="10">
        <f ca="1">TODAY()-3231</f>
        <v>40991</v>
      </c>
      <c r="F128" s="4" t="b">
        <v>0</v>
      </c>
      <c r="G128" s="11">
        <v>245600</v>
      </c>
      <c r="H128" s="12" t="s">
        <v>217</v>
      </c>
    </row>
    <row r="129" spans="1:8" x14ac:dyDescent="0.2">
      <c r="A129" s="9">
        <v>128</v>
      </c>
      <c r="B129" s="3" t="s">
        <v>146</v>
      </c>
      <c r="C129" s="3" t="s">
        <v>198</v>
      </c>
      <c r="D129" s="3" t="s">
        <v>121</v>
      </c>
      <c r="E129" s="10">
        <f ca="1">TODAY()-3229</f>
        <v>40993</v>
      </c>
      <c r="F129" s="4" t="b">
        <v>0</v>
      </c>
      <c r="G129" s="11">
        <v>285200</v>
      </c>
      <c r="H129" s="12" t="s">
        <v>219</v>
      </c>
    </row>
    <row r="130" spans="1:8" x14ac:dyDescent="0.2">
      <c r="A130" s="9">
        <v>129</v>
      </c>
      <c r="B130" s="3" t="s">
        <v>146</v>
      </c>
      <c r="C130" s="3" t="s">
        <v>198</v>
      </c>
      <c r="D130" s="3" t="s">
        <v>121</v>
      </c>
      <c r="E130" s="10">
        <f ca="1">TODAY()-3217</f>
        <v>41005</v>
      </c>
      <c r="F130" s="4" t="b">
        <v>1</v>
      </c>
      <c r="G130" s="11">
        <v>349100</v>
      </c>
      <c r="H130" s="12" t="s">
        <v>219</v>
      </c>
    </row>
    <row r="131" spans="1:8" x14ac:dyDescent="0.2">
      <c r="A131" s="9">
        <v>130</v>
      </c>
      <c r="B131" s="3" t="s">
        <v>191</v>
      </c>
      <c r="C131" s="3" t="s">
        <v>199</v>
      </c>
      <c r="D131" s="3" t="s">
        <v>135</v>
      </c>
      <c r="E131" s="10">
        <f ca="1">TODAY()-3212</f>
        <v>41010</v>
      </c>
      <c r="F131" s="4" t="b">
        <v>0</v>
      </c>
      <c r="G131" s="11">
        <v>268300</v>
      </c>
      <c r="H131" s="12" t="s">
        <v>218</v>
      </c>
    </row>
    <row r="132" spans="1:8" x14ac:dyDescent="0.2">
      <c r="A132" s="9">
        <v>131</v>
      </c>
      <c r="B132" s="3" t="s">
        <v>146</v>
      </c>
      <c r="C132" s="3" t="s">
        <v>182</v>
      </c>
      <c r="D132" s="3" t="s">
        <v>121</v>
      </c>
      <c r="E132" s="10">
        <f ca="1">TODAY()-3210</f>
        <v>41012</v>
      </c>
      <c r="F132" s="4" t="b">
        <v>0</v>
      </c>
      <c r="G132" s="11">
        <v>478400</v>
      </c>
      <c r="H132" s="12" t="s">
        <v>218</v>
      </c>
    </row>
    <row r="133" spans="1:8" x14ac:dyDescent="0.2">
      <c r="A133" s="9">
        <v>132</v>
      </c>
      <c r="B133" s="3" t="s">
        <v>126</v>
      </c>
      <c r="C133" s="3" t="s">
        <v>125</v>
      </c>
      <c r="D133" s="3" t="s">
        <v>127</v>
      </c>
      <c r="E133" s="10">
        <f ca="1">TODAY()-3199</f>
        <v>41023</v>
      </c>
      <c r="F133" s="4" t="b">
        <v>0</v>
      </c>
      <c r="G133" s="11">
        <v>267700</v>
      </c>
      <c r="H133" s="12" t="s">
        <v>219</v>
      </c>
    </row>
    <row r="134" spans="1:8" x14ac:dyDescent="0.2">
      <c r="A134" s="9">
        <v>133</v>
      </c>
      <c r="B134" s="3" t="s">
        <v>173</v>
      </c>
      <c r="C134" s="3" t="s">
        <v>200</v>
      </c>
      <c r="D134" s="3" t="s">
        <v>135</v>
      </c>
      <c r="E134" s="10">
        <f ca="1">TODAY()-3204</f>
        <v>41018</v>
      </c>
      <c r="F134" s="4" t="b">
        <v>0</v>
      </c>
      <c r="G134" s="11">
        <v>279900</v>
      </c>
      <c r="H134" s="12" t="s">
        <v>219</v>
      </c>
    </row>
    <row r="135" spans="1:8" x14ac:dyDescent="0.2">
      <c r="A135" s="9">
        <v>134</v>
      </c>
      <c r="B135" s="3" t="s">
        <v>133</v>
      </c>
      <c r="C135" s="3" t="s">
        <v>171</v>
      </c>
      <c r="D135" s="3" t="s">
        <v>131</v>
      </c>
      <c r="E135" s="10">
        <f ca="1">TODAY()-3201</f>
        <v>41021</v>
      </c>
      <c r="F135" s="4" t="b">
        <v>1</v>
      </c>
      <c r="G135" s="11">
        <v>488200</v>
      </c>
      <c r="H135" s="12" t="s">
        <v>217</v>
      </c>
    </row>
    <row r="136" spans="1:8" x14ac:dyDescent="0.2">
      <c r="A136" s="9">
        <v>135</v>
      </c>
      <c r="B136" s="3" t="s">
        <v>129</v>
      </c>
      <c r="C136" s="3" t="s">
        <v>130</v>
      </c>
      <c r="D136" s="3" t="s">
        <v>131</v>
      </c>
      <c r="E136" s="10">
        <f ca="1">TODAY()-3188</f>
        <v>41034</v>
      </c>
      <c r="F136" s="4" t="b">
        <v>1</v>
      </c>
      <c r="G136" s="11">
        <v>257000</v>
      </c>
      <c r="H136" s="12" t="s">
        <v>218</v>
      </c>
    </row>
    <row r="137" spans="1:8" x14ac:dyDescent="0.2">
      <c r="A137" s="9">
        <v>136</v>
      </c>
      <c r="B137" s="3" t="s">
        <v>146</v>
      </c>
      <c r="C137" s="3" t="s">
        <v>201</v>
      </c>
      <c r="D137" s="3" t="s">
        <v>135</v>
      </c>
      <c r="E137" s="10">
        <f ca="1">TODAY()-3191</f>
        <v>41031</v>
      </c>
      <c r="F137" s="4" t="b">
        <v>0</v>
      </c>
      <c r="G137" s="11">
        <v>337100</v>
      </c>
      <c r="H137" s="12" t="s">
        <v>220</v>
      </c>
    </row>
    <row r="138" spans="1:8" x14ac:dyDescent="0.2">
      <c r="A138" s="9">
        <v>137</v>
      </c>
      <c r="B138" s="3" t="s">
        <v>139</v>
      </c>
      <c r="C138" s="3" t="s">
        <v>145</v>
      </c>
      <c r="D138" s="3" t="s">
        <v>124</v>
      </c>
      <c r="E138" s="10">
        <f ca="1">TODAY()-3188</f>
        <v>41034</v>
      </c>
      <c r="F138" s="4" t="b">
        <v>1</v>
      </c>
      <c r="G138" s="11">
        <v>305100</v>
      </c>
      <c r="H138" s="12" t="s">
        <v>217</v>
      </c>
    </row>
    <row r="139" spans="1:8" x14ac:dyDescent="0.2">
      <c r="A139" s="9">
        <v>138</v>
      </c>
      <c r="B139" s="3" t="s">
        <v>120</v>
      </c>
      <c r="C139" s="3" t="s">
        <v>195</v>
      </c>
      <c r="D139" s="3" t="s">
        <v>121</v>
      </c>
      <c r="E139" s="10">
        <f ca="1">TODAY()-3186</f>
        <v>41036</v>
      </c>
      <c r="F139" s="4" t="b">
        <v>0</v>
      </c>
      <c r="G139" s="11">
        <v>341300</v>
      </c>
      <c r="H139" s="12" t="s">
        <v>219</v>
      </c>
    </row>
    <row r="140" spans="1:8" x14ac:dyDescent="0.2">
      <c r="A140" s="9">
        <v>139</v>
      </c>
      <c r="B140" s="3" t="s">
        <v>155</v>
      </c>
      <c r="C140" s="3" t="s">
        <v>164</v>
      </c>
      <c r="D140" s="3" t="s">
        <v>124</v>
      </c>
      <c r="E140" s="10">
        <f ca="1">TODAY()-3178</f>
        <v>41044</v>
      </c>
      <c r="F140" s="4" t="b">
        <v>1</v>
      </c>
      <c r="G140" s="11">
        <v>440700</v>
      </c>
      <c r="H140" s="12" t="s">
        <v>220</v>
      </c>
    </row>
    <row r="141" spans="1:8" x14ac:dyDescent="0.2">
      <c r="A141" s="9">
        <v>140</v>
      </c>
      <c r="B141" s="3" t="s">
        <v>155</v>
      </c>
      <c r="C141" s="3" t="s">
        <v>193</v>
      </c>
      <c r="D141" s="3" t="s">
        <v>124</v>
      </c>
      <c r="E141" s="10">
        <f ca="1">TODAY()-3179</f>
        <v>41043</v>
      </c>
      <c r="F141" s="4" t="b">
        <v>0</v>
      </c>
      <c r="G141" s="11">
        <v>336800</v>
      </c>
      <c r="H141" s="12" t="s">
        <v>218</v>
      </c>
    </row>
    <row r="142" spans="1:8" x14ac:dyDescent="0.2">
      <c r="A142" s="9">
        <v>141</v>
      </c>
      <c r="B142" s="3" t="s">
        <v>197</v>
      </c>
      <c r="C142" s="3" t="s">
        <v>202</v>
      </c>
      <c r="D142" s="3" t="s">
        <v>135</v>
      </c>
      <c r="E142" s="10">
        <f ca="1">TODAY()-3174</f>
        <v>41048</v>
      </c>
      <c r="F142" s="4" t="b">
        <v>0</v>
      </c>
      <c r="G142" s="11">
        <v>269800</v>
      </c>
      <c r="H142" s="12" t="s">
        <v>217</v>
      </c>
    </row>
    <row r="143" spans="1:8" x14ac:dyDescent="0.2">
      <c r="A143" s="9">
        <v>142</v>
      </c>
      <c r="B143" s="3" t="s">
        <v>150</v>
      </c>
      <c r="C143" s="3" t="s">
        <v>149</v>
      </c>
      <c r="D143" s="3" t="s">
        <v>124</v>
      </c>
      <c r="E143" s="10">
        <f ca="1">TODAY()-3172</f>
        <v>41050</v>
      </c>
      <c r="F143" s="4" t="b">
        <v>0</v>
      </c>
      <c r="G143" s="11">
        <v>252100</v>
      </c>
      <c r="H143" s="12" t="s">
        <v>217</v>
      </c>
    </row>
    <row r="144" spans="1:8" x14ac:dyDescent="0.2">
      <c r="A144" s="9">
        <v>143</v>
      </c>
      <c r="B144" s="3" t="s">
        <v>146</v>
      </c>
      <c r="C144" s="3" t="s">
        <v>201</v>
      </c>
      <c r="D144" s="3" t="s">
        <v>135</v>
      </c>
      <c r="E144" s="10">
        <f ca="1">TODAY()-3172</f>
        <v>41050</v>
      </c>
      <c r="F144" s="4" t="b">
        <v>1</v>
      </c>
      <c r="G144" s="11">
        <v>463000</v>
      </c>
      <c r="H144" s="12" t="s">
        <v>220</v>
      </c>
    </row>
    <row r="145" spans="1:8" x14ac:dyDescent="0.2">
      <c r="A145" s="9">
        <v>144</v>
      </c>
      <c r="B145" s="3" t="s">
        <v>143</v>
      </c>
      <c r="C145" s="3" t="s">
        <v>142</v>
      </c>
      <c r="D145" s="3" t="s">
        <v>121</v>
      </c>
      <c r="E145" s="10">
        <f ca="1">TODAY()-3169</f>
        <v>41053</v>
      </c>
      <c r="F145" s="4" t="b">
        <v>1</v>
      </c>
      <c r="G145" s="11">
        <v>762300</v>
      </c>
      <c r="H145" s="12" t="s">
        <v>220</v>
      </c>
    </row>
    <row r="146" spans="1:8" x14ac:dyDescent="0.2">
      <c r="A146" s="9">
        <v>145</v>
      </c>
      <c r="B146" s="3" t="s">
        <v>123</v>
      </c>
      <c r="C146" s="3" t="s">
        <v>189</v>
      </c>
      <c r="D146" s="3" t="s">
        <v>121</v>
      </c>
      <c r="E146" s="10">
        <f ca="1">TODAY()-3165</f>
        <v>41057</v>
      </c>
      <c r="F146" s="4" t="b">
        <v>1</v>
      </c>
      <c r="G146" s="11">
        <v>263400</v>
      </c>
      <c r="H146" s="12" t="s">
        <v>218</v>
      </c>
    </row>
    <row r="147" spans="1:8" x14ac:dyDescent="0.2">
      <c r="A147" s="9">
        <v>146</v>
      </c>
      <c r="B147" s="3" t="s">
        <v>158</v>
      </c>
      <c r="C147" s="3" t="s">
        <v>184</v>
      </c>
      <c r="D147" s="3" t="s">
        <v>127</v>
      </c>
      <c r="E147" s="10">
        <f ca="1">TODAY()-3159</f>
        <v>41063</v>
      </c>
      <c r="F147" s="4" t="b">
        <v>1</v>
      </c>
      <c r="G147" s="11">
        <v>393200</v>
      </c>
      <c r="H147" s="12" t="s">
        <v>220</v>
      </c>
    </row>
    <row r="148" spans="1:8" x14ac:dyDescent="0.2">
      <c r="A148" s="9">
        <v>147</v>
      </c>
      <c r="B148" s="3" t="s">
        <v>133</v>
      </c>
      <c r="C148" s="3" t="s">
        <v>153</v>
      </c>
      <c r="D148" s="3" t="s">
        <v>135</v>
      </c>
      <c r="E148" s="10">
        <f ca="1">TODAY()-3149</f>
        <v>41073</v>
      </c>
      <c r="F148" s="4" t="b">
        <v>0</v>
      </c>
      <c r="G148" s="11">
        <v>239600</v>
      </c>
      <c r="H148" s="12" t="s">
        <v>218</v>
      </c>
    </row>
    <row r="149" spans="1:8" x14ac:dyDescent="0.2">
      <c r="A149" s="9">
        <v>148</v>
      </c>
      <c r="B149" s="3" t="s">
        <v>146</v>
      </c>
      <c r="C149" s="3" t="s">
        <v>182</v>
      </c>
      <c r="D149" s="3" t="s">
        <v>121</v>
      </c>
      <c r="E149" s="10">
        <f ca="1">TODAY()-3152</f>
        <v>41070</v>
      </c>
      <c r="F149" s="4" t="b">
        <v>0</v>
      </c>
      <c r="G149" s="11">
        <v>497000</v>
      </c>
      <c r="H149" s="12" t="s">
        <v>218</v>
      </c>
    </row>
    <row r="150" spans="1:8" x14ac:dyDescent="0.2">
      <c r="A150" s="9">
        <v>149</v>
      </c>
      <c r="B150" s="3" t="s">
        <v>143</v>
      </c>
      <c r="C150" s="3" t="s">
        <v>166</v>
      </c>
      <c r="D150" s="3" t="s">
        <v>121</v>
      </c>
      <c r="E150" s="10">
        <f ca="1">TODAY()-3128</f>
        <v>41094</v>
      </c>
      <c r="F150" s="4" t="b">
        <v>0</v>
      </c>
      <c r="G150" s="11">
        <v>240100</v>
      </c>
      <c r="H150" s="12" t="s">
        <v>220</v>
      </c>
    </row>
    <row r="151" spans="1:8" x14ac:dyDescent="0.2">
      <c r="A151" s="9">
        <v>150</v>
      </c>
      <c r="B151" s="3" t="s">
        <v>120</v>
      </c>
      <c r="C151" s="3" t="s">
        <v>156</v>
      </c>
      <c r="D151" s="3" t="s">
        <v>121</v>
      </c>
      <c r="E151" s="10">
        <f ca="1">TODAY()-3129</f>
        <v>41093</v>
      </c>
      <c r="F151" s="4" t="b">
        <v>0</v>
      </c>
      <c r="G151" s="11">
        <v>246300</v>
      </c>
      <c r="H151" s="12" t="s">
        <v>220</v>
      </c>
    </row>
    <row r="152" spans="1:8" x14ac:dyDescent="0.2">
      <c r="A152" s="9">
        <v>151</v>
      </c>
      <c r="B152" s="3" t="s">
        <v>155</v>
      </c>
      <c r="C152" s="3" t="s">
        <v>154</v>
      </c>
      <c r="D152" s="3" t="s">
        <v>124</v>
      </c>
      <c r="E152" s="10">
        <f ca="1">TODAY()-3125</f>
        <v>41097</v>
      </c>
      <c r="F152" s="4" t="b">
        <v>0</v>
      </c>
      <c r="G152" s="11">
        <v>285200</v>
      </c>
      <c r="H152" s="12" t="s">
        <v>220</v>
      </c>
    </row>
    <row r="153" spans="1:8" x14ac:dyDescent="0.2">
      <c r="A153" s="9">
        <v>152</v>
      </c>
      <c r="B153" s="3" t="s">
        <v>150</v>
      </c>
      <c r="C153" s="3" t="s">
        <v>136</v>
      </c>
      <c r="D153" s="3" t="s">
        <v>124</v>
      </c>
      <c r="E153" s="10">
        <f ca="1">TODAY()-3125</f>
        <v>41097</v>
      </c>
      <c r="F153" s="4" t="b">
        <v>1</v>
      </c>
      <c r="G153" s="13">
        <v>649200</v>
      </c>
      <c r="H153" s="12" t="s">
        <v>220</v>
      </c>
    </row>
    <row r="154" spans="1:8" x14ac:dyDescent="0.2">
      <c r="A154" s="9">
        <v>153</v>
      </c>
      <c r="B154" s="3" t="s">
        <v>133</v>
      </c>
      <c r="C154" s="3" t="s">
        <v>171</v>
      </c>
      <c r="D154" s="3" t="s">
        <v>131</v>
      </c>
      <c r="E154" s="10">
        <f ca="1">TODAY()-3119</f>
        <v>41103</v>
      </c>
      <c r="F154" s="4" t="b">
        <v>0</v>
      </c>
      <c r="G154" s="11">
        <v>384700</v>
      </c>
      <c r="H154" s="12" t="s">
        <v>217</v>
      </c>
    </row>
    <row r="155" spans="1:8" x14ac:dyDescent="0.2">
      <c r="A155" s="9">
        <v>154</v>
      </c>
      <c r="B155" s="3" t="s">
        <v>155</v>
      </c>
      <c r="C155" s="3" t="s">
        <v>186</v>
      </c>
      <c r="D155" s="3" t="s">
        <v>135</v>
      </c>
      <c r="E155" s="10">
        <f ca="1">TODAY()-3117</f>
        <v>41105</v>
      </c>
      <c r="F155" s="4" t="b">
        <v>0</v>
      </c>
      <c r="G155" s="11">
        <v>651100</v>
      </c>
      <c r="H155" s="12" t="s">
        <v>219</v>
      </c>
    </row>
    <row r="156" spans="1:8" x14ac:dyDescent="0.2">
      <c r="A156" s="9">
        <v>155</v>
      </c>
      <c r="B156" s="3" t="s">
        <v>148</v>
      </c>
      <c r="C156" s="3" t="s">
        <v>172</v>
      </c>
      <c r="D156" s="3" t="s">
        <v>121</v>
      </c>
      <c r="E156" s="10">
        <f ca="1">TODAY()-3107</f>
        <v>41115</v>
      </c>
      <c r="F156" s="4" t="b">
        <v>1</v>
      </c>
      <c r="G156" s="11">
        <v>299200</v>
      </c>
      <c r="H156" s="12" t="s">
        <v>218</v>
      </c>
    </row>
    <row r="157" spans="1:8" x14ac:dyDescent="0.2">
      <c r="A157" s="9">
        <v>156</v>
      </c>
      <c r="B157" s="3" t="s">
        <v>126</v>
      </c>
      <c r="C157" s="3" t="s">
        <v>183</v>
      </c>
      <c r="D157" s="3" t="s">
        <v>127</v>
      </c>
      <c r="E157" s="10">
        <f ca="1">TODAY()-3110</f>
        <v>41112</v>
      </c>
      <c r="F157" s="4" t="b">
        <v>0</v>
      </c>
      <c r="G157" s="11">
        <v>310900</v>
      </c>
      <c r="H157" s="12" t="s">
        <v>218</v>
      </c>
    </row>
    <row r="158" spans="1:8" x14ac:dyDescent="0.2">
      <c r="A158" s="9">
        <v>157</v>
      </c>
      <c r="B158" s="3" t="s">
        <v>129</v>
      </c>
      <c r="C158" s="3" t="s">
        <v>159</v>
      </c>
      <c r="D158" s="3" t="s">
        <v>121</v>
      </c>
      <c r="E158" s="10">
        <f ca="1">TODAY()-3104</f>
        <v>41118</v>
      </c>
      <c r="F158" s="4" t="b">
        <v>1</v>
      </c>
      <c r="G158" s="11">
        <v>235300</v>
      </c>
      <c r="H158" s="12" t="s">
        <v>219</v>
      </c>
    </row>
    <row r="159" spans="1:8" x14ac:dyDescent="0.2">
      <c r="A159" s="9">
        <v>158</v>
      </c>
      <c r="B159" s="3" t="s">
        <v>139</v>
      </c>
      <c r="C159" s="3" t="s">
        <v>141</v>
      </c>
      <c r="D159" s="3" t="s">
        <v>124</v>
      </c>
      <c r="E159" s="10">
        <f ca="1">TODAY()-3101</f>
        <v>41121</v>
      </c>
      <c r="F159" s="4" t="b">
        <v>0</v>
      </c>
      <c r="G159" s="11">
        <v>291200</v>
      </c>
      <c r="H159" s="12" t="s">
        <v>220</v>
      </c>
    </row>
    <row r="160" spans="1:8" x14ac:dyDescent="0.2">
      <c r="A160" s="9">
        <v>159</v>
      </c>
      <c r="B160" s="3" t="s">
        <v>137</v>
      </c>
      <c r="C160" s="3" t="s">
        <v>167</v>
      </c>
      <c r="D160" s="3" t="s">
        <v>135</v>
      </c>
      <c r="E160" s="10">
        <f ca="1">TODAY()-3097</f>
        <v>41125</v>
      </c>
      <c r="F160" s="4" t="b">
        <v>1</v>
      </c>
      <c r="G160" s="11">
        <v>741900</v>
      </c>
      <c r="H160" s="12" t="s">
        <v>218</v>
      </c>
    </row>
    <row r="161" spans="1:8" x14ac:dyDescent="0.2">
      <c r="A161" s="9">
        <v>160</v>
      </c>
      <c r="B161" s="3" t="s">
        <v>146</v>
      </c>
      <c r="C161" s="3" t="s">
        <v>201</v>
      </c>
      <c r="D161" s="3" t="s">
        <v>135</v>
      </c>
      <c r="E161" s="10">
        <f ca="1">TODAY()-3097</f>
        <v>41125</v>
      </c>
      <c r="F161" s="4" t="b">
        <v>0</v>
      </c>
      <c r="G161" s="11">
        <v>278600</v>
      </c>
      <c r="H161" s="12" t="s">
        <v>220</v>
      </c>
    </row>
    <row r="162" spans="1:8" x14ac:dyDescent="0.2">
      <c r="A162" s="9">
        <v>161</v>
      </c>
      <c r="B162" s="3" t="s">
        <v>150</v>
      </c>
      <c r="C162" s="3" t="s">
        <v>152</v>
      </c>
      <c r="D162" s="3" t="s">
        <v>135</v>
      </c>
      <c r="E162" s="10">
        <f ca="1">TODAY()-3093</f>
        <v>41129</v>
      </c>
      <c r="F162" s="4" t="b">
        <v>0</v>
      </c>
      <c r="G162" s="11">
        <v>257600</v>
      </c>
      <c r="H162" s="12" t="s">
        <v>219</v>
      </c>
    </row>
    <row r="163" spans="1:8" x14ac:dyDescent="0.2">
      <c r="A163" s="9">
        <v>162</v>
      </c>
      <c r="B163" s="3" t="s">
        <v>155</v>
      </c>
      <c r="C163" s="3" t="s">
        <v>154</v>
      </c>
      <c r="D163" s="3" t="s">
        <v>124</v>
      </c>
      <c r="E163" s="10">
        <f ca="1">TODAY()-3087</f>
        <v>41135</v>
      </c>
      <c r="F163" s="4" t="b">
        <v>0</v>
      </c>
      <c r="G163" s="11">
        <v>246100</v>
      </c>
      <c r="H163" s="12" t="s">
        <v>220</v>
      </c>
    </row>
    <row r="164" spans="1:8" x14ac:dyDescent="0.2">
      <c r="A164" s="9">
        <v>163</v>
      </c>
      <c r="B164" s="3" t="s">
        <v>173</v>
      </c>
      <c r="C164" s="3" t="s">
        <v>185</v>
      </c>
      <c r="D164" s="3" t="s">
        <v>131</v>
      </c>
      <c r="E164" s="10">
        <f ca="1">TODAY()-3088</f>
        <v>41134</v>
      </c>
      <c r="F164" s="4" t="b">
        <v>1</v>
      </c>
      <c r="G164" s="11">
        <v>296700</v>
      </c>
      <c r="H164" s="12" t="s">
        <v>217</v>
      </c>
    </row>
    <row r="165" spans="1:8" x14ac:dyDescent="0.2">
      <c r="A165" s="9">
        <v>164</v>
      </c>
      <c r="B165" s="3" t="s">
        <v>120</v>
      </c>
      <c r="C165" s="3" t="s">
        <v>119</v>
      </c>
      <c r="D165" s="3" t="s">
        <v>121</v>
      </c>
      <c r="E165" s="10">
        <f ca="1">TODAY()-3085</f>
        <v>41137</v>
      </c>
      <c r="F165" s="4" t="b">
        <v>0</v>
      </c>
      <c r="G165" s="11">
        <v>242800</v>
      </c>
      <c r="H165" s="12" t="s">
        <v>217</v>
      </c>
    </row>
    <row r="166" spans="1:8" x14ac:dyDescent="0.2">
      <c r="A166" s="9">
        <v>165</v>
      </c>
      <c r="B166" s="3" t="s">
        <v>143</v>
      </c>
      <c r="C166" s="3" t="s">
        <v>203</v>
      </c>
      <c r="D166" s="3" t="s">
        <v>124</v>
      </c>
      <c r="E166" s="10">
        <f ca="1">TODAY()-3085</f>
        <v>41137</v>
      </c>
      <c r="F166" s="4" t="b">
        <v>1</v>
      </c>
      <c r="G166" s="13">
        <v>686600</v>
      </c>
      <c r="H166" s="12" t="s">
        <v>219</v>
      </c>
    </row>
    <row r="167" spans="1:8" x14ac:dyDescent="0.2">
      <c r="A167" s="9">
        <v>166</v>
      </c>
      <c r="B167" s="3" t="s">
        <v>173</v>
      </c>
      <c r="C167" s="3" t="s">
        <v>185</v>
      </c>
      <c r="D167" s="3" t="s">
        <v>131</v>
      </c>
      <c r="E167" s="10">
        <f ca="1">TODAY()-3077</f>
        <v>41145</v>
      </c>
      <c r="F167" s="4" t="b">
        <v>1</v>
      </c>
      <c r="G167" s="11">
        <v>292300</v>
      </c>
      <c r="H167" s="12" t="s">
        <v>217</v>
      </c>
    </row>
    <row r="168" spans="1:8" x14ac:dyDescent="0.2">
      <c r="A168" s="9">
        <v>167</v>
      </c>
      <c r="B168" s="3" t="s">
        <v>191</v>
      </c>
      <c r="C168" s="3" t="s">
        <v>204</v>
      </c>
      <c r="D168" s="3" t="s">
        <v>135</v>
      </c>
      <c r="E168" s="10">
        <f ca="1">TODAY()-3079</f>
        <v>41143</v>
      </c>
      <c r="F168" s="4" t="b">
        <v>0</v>
      </c>
      <c r="G168" s="11">
        <v>238600</v>
      </c>
      <c r="H168" s="12" t="s">
        <v>220</v>
      </c>
    </row>
    <row r="169" spans="1:8" x14ac:dyDescent="0.2">
      <c r="A169" s="9">
        <v>168</v>
      </c>
      <c r="B169" s="3" t="s">
        <v>139</v>
      </c>
      <c r="C169" s="3" t="s">
        <v>141</v>
      </c>
      <c r="D169" s="3" t="s">
        <v>124</v>
      </c>
      <c r="E169" s="10">
        <f ca="1">TODAY()-3070</f>
        <v>41152</v>
      </c>
      <c r="F169" s="4" t="b">
        <v>1</v>
      </c>
      <c r="G169" s="11">
        <v>294100</v>
      </c>
      <c r="H169" s="12" t="s">
        <v>220</v>
      </c>
    </row>
    <row r="170" spans="1:8" x14ac:dyDescent="0.2">
      <c r="A170" s="9">
        <v>169</v>
      </c>
      <c r="B170" s="3" t="s">
        <v>155</v>
      </c>
      <c r="C170" s="3" t="s">
        <v>154</v>
      </c>
      <c r="D170" s="3" t="s">
        <v>124</v>
      </c>
      <c r="E170" s="10">
        <f ca="1">TODAY()-3077</f>
        <v>41145</v>
      </c>
      <c r="F170" s="4" t="b">
        <v>0</v>
      </c>
      <c r="G170" s="11">
        <v>349500</v>
      </c>
      <c r="H170" s="12" t="s">
        <v>220</v>
      </c>
    </row>
    <row r="171" spans="1:8" x14ac:dyDescent="0.2">
      <c r="A171" s="9">
        <v>170</v>
      </c>
      <c r="B171" s="3" t="s">
        <v>120</v>
      </c>
      <c r="C171" s="3" t="s">
        <v>165</v>
      </c>
      <c r="D171" s="3" t="s">
        <v>131</v>
      </c>
      <c r="E171" s="10">
        <f ca="1">TODAY()-3073</f>
        <v>41149</v>
      </c>
      <c r="F171" s="4" t="b">
        <v>1</v>
      </c>
      <c r="G171" s="11">
        <v>235500</v>
      </c>
      <c r="H171" s="12" t="s">
        <v>217</v>
      </c>
    </row>
    <row r="172" spans="1:8" x14ac:dyDescent="0.2">
      <c r="A172" s="9">
        <v>171</v>
      </c>
      <c r="B172" s="3" t="s">
        <v>155</v>
      </c>
      <c r="C172" s="3" t="s">
        <v>186</v>
      </c>
      <c r="D172" s="3" t="s">
        <v>135</v>
      </c>
      <c r="E172" s="10">
        <f ca="1">TODAY()-3071</f>
        <v>41151</v>
      </c>
      <c r="F172" s="4" t="b">
        <v>1</v>
      </c>
      <c r="G172" s="11">
        <v>288500</v>
      </c>
      <c r="H172" s="12" t="s">
        <v>219</v>
      </c>
    </row>
    <row r="173" spans="1:8" x14ac:dyDescent="0.2">
      <c r="A173" s="9">
        <v>172</v>
      </c>
      <c r="B173" s="3" t="s">
        <v>155</v>
      </c>
      <c r="C173" s="3" t="s">
        <v>174</v>
      </c>
      <c r="D173" s="3" t="s">
        <v>131</v>
      </c>
      <c r="E173" s="10">
        <f ca="1">TODAY()-3068</f>
        <v>41154</v>
      </c>
      <c r="F173" s="4" t="b">
        <v>1</v>
      </c>
      <c r="G173" s="11">
        <v>378200</v>
      </c>
      <c r="H173" s="12" t="s">
        <v>220</v>
      </c>
    </row>
    <row r="174" spans="1:8" x14ac:dyDescent="0.2">
      <c r="A174" s="9">
        <v>173</v>
      </c>
      <c r="B174" s="3" t="s">
        <v>158</v>
      </c>
      <c r="C174" s="3" t="s">
        <v>184</v>
      </c>
      <c r="D174" s="3" t="s">
        <v>127</v>
      </c>
      <c r="E174" s="10">
        <f ca="1">TODAY()-3071</f>
        <v>41151</v>
      </c>
      <c r="F174" s="4" t="b">
        <v>0</v>
      </c>
      <c r="G174" s="11">
        <v>257500</v>
      </c>
      <c r="H174" s="12" t="s">
        <v>220</v>
      </c>
    </row>
    <row r="175" spans="1:8" x14ac:dyDescent="0.2">
      <c r="A175" s="9">
        <v>174</v>
      </c>
      <c r="B175" s="3" t="s">
        <v>120</v>
      </c>
      <c r="C175" s="3" t="s">
        <v>195</v>
      </c>
      <c r="D175" s="3" t="s">
        <v>121</v>
      </c>
      <c r="E175" s="10">
        <f ca="1">TODAY()-3063</f>
        <v>41159</v>
      </c>
      <c r="F175" s="4" t="b">
        <v>1</v>
      </c>
      <c r="G175" s="11">
        <v>387400</v>
      </c>
      <c r="H175" s="12" t="s">
        <v>219</v>
      </c>
    </row>
    <row r="176" spans="1:8" x14ac:dyDescent="0.2">
      <c r="A176" s="9">
        <v>175</v>
      </c>
      <c r="B176" s="3" t="s">
        <v>197</v>
      </c>
      <c r="C176" s="3" t="s">
        <v>196</v>
      </c>
      <c r="D176" s="3" t="s">
        <v>124</v>
      </c>
      <c r="E176" s="10">
        <f ca="1">TODAY()-3053</f>
        <v>41169</v>
      </c>
      <c r="F176" s="4" t="b">
        <v>1</v>
      </c>
      <c r="G176" s="11">
        <v>432900</v>
      </c>
      <c r="H176" s="12" t="s">
        <v>219</v>
      </c>
    </row>
    <row r="177" spans="1:8" x14ac:dyDescent="0.2">
      <c r="A177" s="9">
        <v>176</v>
      </c>
      <c r="B177" s="3" t="s">
        <v>143</v>
      </c>
      <c r="C177" s="3" t="s">
        <v>142</v>
      </c>
      <c r="D177" s="3" t="s">
        <v>121</v>
      </c>
      <c r="E177" s="10">
        <f ca="1">TODAY()-3052</f>
        <v>41170</v>
      </c>
      <c r="F177" s="4" t="b">
        <v>0</v>
      </c>
      <c r="G177" s="11">
        <v>288500</v>
      </c>
      <c r="H177" s="12" t="s">
        <v>220</v>
      </c>
    </row>
    <row r="178" spans="1:8" x14ac:dyDescent="0.2">
      <c r="A178" s="9">
        <v>177</v>
      </c>
      <c r="B178" s="3" t="s">
        <v>126</v>
      </c>
      <c r="C178" s="3" t="s">
        <v>125</v>
      </c>
      <c r="D178" s="3" t="s">
        <v>127</v>
      </c>
      <c r="E178" s="10">
        <f ca="1">TODAY()-3051</f>
        <v>41171</v>
      </c>
      <c r="F178" s="4" t="b">
        <v>0</v>
      </c>
      <c r="G178" s="11">
        <v>391600</v>
      </c>
      <c r="H178" s="12" t="s">
        <v>219</v>
      </c>
    </row>
    <row r="179" spans="1:8" x14ac:dyDescent="0.2">
      <c r="A179" s="9">
        <v>178</v>
      </c>
      <c r="B179" s="3" t="s">
        <v>146</v>
      </c>
      <c r="C179" s="3" t="s">
        <v>160</v>
      </c>
      <c r="D179" s="3" t="s">
        <v>121</v>
      </c>
      <c r="E179" s="10">
        <f ca="1">TODAY()-3042</f>
        <v>41180</v>
      </c>
      <c r="F179" s="4" t="b">
        <v>0</v>
      </c>
      <c r="G179" s="11">
        <v>618400</v>
      </c>
      <c r="H179" s="12" t="s">
        <v>218</v>
      </c>
    </row>
    <row r="180" spans="1:8" x14ac:dyDescent="0.2">
      <c r="A180" s="9">
        <v>179</v>
      </c>
      <c r="B180" s="3" t="s">
        <v>197</v>
      </c>
      <c r="C180" s="3" t="s">
        <v>202</v>
      </c>
      <c r="D180" s="3" t="s">
        <v>135</v>
      </c>
      <c r="E180" s="10">
        <f ca="1">TODAY()-3044</f>
        <v>41178</v>
      </c>
      <c r="F180" s="4" t="b">
        <v>1</v>
      </c>
      <c r="G180" s="11">
        <v>281100</v>
      </c>
      <c r="H180" s="12" t="s">
        <v>217</v>
      </c>
    </row>
    <row r="181" spans="1:8" x14ac:dyDescent="0.2">
      <c r="A181" s="9">
        <v>180</v>
      </c>
      <c r="B181" s="3" t="s">
        <v>155</v>
      </c>
      <c r="C181" s="3" t="s">
        <v>174</v>
      </c>
      <c r="D181" s="3" t="s">
        <v>131</v>
      </c>
      <c r="E181" s="10">
        <f ca="1">TODAY()-3029</f>
        <v>41193</v>
      </c>
      <c r="F181" s="4" t="b">
        <v>1</v>
      </c>
      <c r="G181" s="11">
        <v>249600</v>
      </c>
      <c r="H181" s="12" t="s">
        <v>220</v>
      </c>
    </row>
    <row r="182" spans="1:8" x14ac:dyDescent="0.2">
      <c r="A182" s="9">
        <v>181</v>
      </c>
      <c r="B182" s="3" t="s">
        <v>150</v>
      </c>
      <c r="C182" s="3" t="s">
        <v>149</v>
      </c>
      <c r="D182" s="3" t="s">
        <v>124</v>
      </c>
      <c r="E182" s="10">
        <f ca="1">TODAY()-3023</f>
        <v>41199</v>
      </c>
      <c r="F182" s="4" t="b">
        <v>0</v>
      </c>
      <c r="G182" s="11">
        <v>288500</v>
      </c>
      <c r="H182" s="12" t="s">
        <v>217</v>
      </c>
    </row>
    <row r="183" spans="1:8" x14ac:dyDescent="0.2">
      <c r="A183" s="9">
        <v>182</v>
      </c>
      <c r="B183" s="3" t="s">
        <v>129</v>
      </c>
      <c r="C183" s="3" t="s">
        <v>128</v>
      </c>
      <c r="D183" s="3" t="s">
        <v>124</v>
      </c>
      <c r="E183" s="10">
        <f ca="1">TODAY()-3028</f>
        <v>41194</v>
      </c>
      <c r="F183" s="4" t="b">
        <v>1</v>
      </c>
      <c r="G183" s="11">
        <v>288900</v>
      </c>
      <c r="H183" s="12" t="s">
        <v>217</v>
      </c>
    </row>
    <row r="184" spans="1:8" x14ac:dyDescent="0.2">
      <c r="A184" s="9">
        <v>183</v>
      </c>
      <c r="B184" s="3" t="s">
        <v>120</v>
      </c>
      <c r="C184" s="3" t="s">
        <v>165</v>
      </c>
      <c r="D184" s="3" t="s">
        <v>131</v>
      </c>
      <c r="E184" s="10">
        <f ca="1">TODAY()-3017</f>
        <v>41205</v>
      </c>
      <c r="F184" s="4" t="b">
        <v>0</v>
      </c>
      <c r="G184" s="11">
        <v>237200</v>
      </c>
      <c r="H184" s="12" t="s">
        <v>217</v>
      </c>
    </row>
    <row r="185" spans="1:8" x14ac:dyDescent="0.2">
      <c r="A185" s="9">
        <v>184</v>
      </c>
      <c r="B185" s="3" t="s">
        <v>148</v>
      </c>
      <c r="C185" s="3" t="s">
        <v>187</v>
      </c>
      <c r="D185" s="3" t="s">
        <v>131</v>
      </c>
      <c r="E185" s="10">
        <f ca="1">TODAY()-3018</f>
        <v>41204</v>
      </c>
      <c r="F185" s="4" t="b">
        <v>0</v>
      </c>
      <c r="G185" s="11">
        <v>278200</v>
      </c>
      <c r="H185" s="12" t="s">
        <v>218</v>
      </c>
    </row>
    <row r="186" spans="1:8" x14ac:dyDescent="0.2">
      <c r="A186" s="9">
        <v>185</v>
      </c>
      <c r="B186" s="3" t="s">
        <v>155</v>
      </c>
      <c r="C186" s="3" t="s">
        <v>154</v>
      </c>
      <c r="D186" s="3" t="s">
        <v>124</v>
      </c>
      <c r="E186" s="10">
        <f ca="1">TODAY()-3026</f>
        <v>41196</v>
      </c>
      <c r="F186" s="4" t="b">
        <v>0</v>
      </c>
      <c r="G186" s="11">
        <v>277200</v>
      </c>
      <c r="H186" s="12" t="s">
        <v>220</v>
      </c>
    </row>
    <row r="187" spans="1:8" x14ac:dyDescent="0.2">
      <c r="A187" s="9">
        <v>186</v>
      </c>
      <c r="B187" s="3" t="s">
        <v>129</v>
      </c>
      <c r="C187" s="3" t="s">
        <v>140</v>
      </c>
      <c r="D187" s="3" t="s">
        <v>135</v>
      </c>
      <c r="E187" s="10">
        <f ca="1">TODAY()-3020</f>
        <v>41202</v>
      </c>
      <c r="F187" s="4" t="b">
        <v>0</v>
      </c>
      <c r="G187" s="11">
        <v>373200</v>
      </c>
      <c r="H187" s="12" t="s">
        <v>218</v>
      </c>
    </row>
    <row r="188" spans="1:8" x14ac:dyDescent="0.2">
      <c r="A188" s="9">
        <v>187</v>
      </c>
      <c r="B188" s="3" t="s">
        <v>139</v>
      </c>
      <c r="C188" s="3" t="s">
        <v>176</v>
      </c>
      <c r="D188" s="3" t="s">
        <v>121</v>
      </c>
      <c r="E188" s="10">
        <f ca="1">TODAY()-3021</f>
        <v>41201</v>
      </c>
      <c r="F188" s="4" t="b">
        <v>0</v>
      </c>
      <c r="G188" s="11">
        <v>441300</v>
      </c>
      <c r="H188" s="12" t="s">
        <v>217</v>
      </c>
    </row>
    <row r="189" spans="1:8" x14ac:dyDescent="0.2">
      <c r="A189" s="9">
        <v>188</v>
      </c>
      <c r="B189" s="3" t="s">
        <v>129</v>
      </c>
      <c r="C189" s="3" t="s">
        <v>134</v>
      </c>
      <c r="D189" s="3" t="s">
        <v>135</v>
      </c>
      <c r="E189" s="10">
        <f ca="1">TODAY()-3017</f>
        <v>41205</v>
      </c>
      <c r="F189" s="4" t="b">
        <v>0</v>
      </c>
      <c r="G189" s="11">
        <v>376500</v>
      </c>
      <c r="H189" s="12" t="s">
        <v>220</v>
      </c>
    </row>
    <row r="190" spans="1:8" x14ac:dyDescent="0.2">
      <c r="A190" s="9">
        <v>189</v>
      </c>
      <c r="B190" s="3" t="s">
        <v>197</v>
      </c>
      <c r="C190" s="3" t="s">
        <v>202</v>
      </c>
      <c r="D190" s="3" t="s">
        <v>135</v>
      </c>
      <c r="E190" s="10">
        <f ca="1">TODAY()-3018</f>
        <v>41204</v>
      </c>
      <c r="F190" s="4" t="b">
        <v>0</v>
      </c>
      <c r="G190" s="11">
        <v>424500</v>
      </c>
      <c r="H190" s="12" t="s">
        <v>217</v>
      </c>
    </row>
    <row r="191" spans="1:8" x14ac:dyDescent="0.2">
      <c r="A191" s="9">
        <v>190</v>
      </c>
      <c r="B191" s="3" t="s">
        <v>143</v>
      </c>
      <c r="C191" s="3" t="s">
        <v>181</v>
      </c>
      <c r="D191" s="3" t="s">
        <v>121</v>
      </c>
      <c r="E191" s="10">
        <f ca="1">TODAY()-3009</f>
        <v>41213</v>
      </c>
      <c r="F191" s="4" t="b">
        <v>1</v>
      </c>
      <c r="G191" s="11">
        <v>243600</v>
      </c>
      <c r="H191" s="12" t="s">
        <v>218</v>
      </c>
    </row>
    <row r="192" spans="1:8" x14ac:dyDescent="0.2">
      <c r="A192" s="9">
        <v>191</v>
      </c>
      <c r="B192" s="3" t="s">
        <v>139</v>
      </c>
      <c r="C192" s="3" t="s">
        <v>194</v>
      </c>
      <c r="D192" s="3" t="s">
        <v>121</v>
      </c>
      <c r="E192" s="10">
        <f ca="1">TODAY()-3006</f>
        <v>41216</v>
      </c>
      <c r="F192" s="4" t="b">
        <v>0</v>
      </c>
      <c r="G192" s="11">
        <v>305100</v>
      </c>
      <c r="H192" s="12" t="s">
        <v>217</v>
      </c>
    </row>
    <row r="193" spans="1:8" x14ac:dyDescent="0.2">
      <c r="A193" s="9">
        <v>192</v>
      </c>
      <c r="B193" s="3" t="s">
        <v>173</v>
      </c>
      <c r="C193" s="3" t="s">
        <v>185</v>
      </c>
      <c r="D193" s="3" t="s">
        <v>131</v>
      </c>
      <c r="E193" s="10">
        <f ca="1">TODAY()-3002</f>
        <v>41220</v>
      </c>
      <c r="F193" s="4" t="b">
        <v>1</v>
      </c>
      <c r="G193" s="11">
        <v>304700</v>
      </c>
      <c r="H193" s="12" t="s">
        <v>217</v>
      </c>
    </row>
    <row r="194" spans="1:8" x14ac:dyDescent="0.2">
      <c r="A194" s="9">
        <v>193</v>
      </c>
      <c r="B194" s="3" t="s">
        <v>150</v>
      </c>
      <c r="C194" s="3" t="s">
        <v>149</v>
      </c>
      <c r="D194" s="3" t="s">
        <v>124</v>
      </c>
      <c r="E194" s="10">
        <f ca="1">TODAY()-2988</f>
        <v>41234</v>
      </c>
      <c r="F194" s="4" t="b">
        <v>0</v>
      </c>
      <c r="G194" s="11">
        <v>255800</v>
      </c>
      <c r="H194" s="12" t="s">
        <v>217</v>
      </c>
    </row>
    <row r="195" spans="1:8" x14ac:dyDescent="0.2">
      <c r="A195" s="9">
        <v>194</v>
      </c>
      <c r="B195" s="3" t="s">
        <v>120</v>
      </c>
      <c r="C195" s="3" t="s">
        <v>205</v>
      </c>
      <c r="D195" s="3" t="s">
        <v>131</v>
      </c>
      <c r="E195" s="10">
        <f ca="1">TODAY()-2982</f>
        <v>41240</v>
      </c>
      <c r="F195" s="4" t="b">
        <v>0</v>
      </c>
      <c r="G195" s="11">
        <v>293800</v>
      </c>
      <c r="H195" s="12" t="s">
        <v>219</v>
      </c>
    </row>
    <row r="196" spans="1:8" x14ac:dyDescent="0.2">
      <c r="A196" s="9">
        <v>195</v>
      </c>
      <c r="B196" s="3" t="s">
        <v>163</v>
      </c>
      <c r="C196" s="3" t="s">
        <v>162</v>
      </c>
      <c r="D196" s="3" t="s">
        <v>127</v>
      </c>
      <c r="E196" s="10">
        <f ca="1">TODAY()-2991</f>
        <v>41231</v>
      </c>
      <c r="F196" s="4" t="b">
        <v>0</v>
      </c>
      <c r="G196" s="11">
        <v>923900</v>
      </c>
      <c r="H196" s="12" t="s">
        <v>217</v>
      </c>
    </row>
    <row r="197" spans="1:8" x14ac:dyDescent="0.2">
      <c r="A197" s="9">
        <v>196</v>
      </c>
      <c r="B197" s="3" t="s">
        <v>129</v>
      </c>
      <c r="C197" s="3" t="s">
        <v>128</v>
      </c>
      <c r="D197" s="3" t="s">
        <v>124</v>
      </c>
      <c r="E197" s="10">
        <f ca="1">TODAY()-2980</f>
        <v>41242</v>
      </c>
      <c r="F197" s="4" t="b">
        <v>0</v>
      </c>
      <c r="G197" s="11">
        <v>252700</v>
      </c>
      <c r="H197" s="12" t="s">
        <v>217</v>
      </c>
    </row>
    <row r="198" spans="1:8" x14ac:dyDescent="0.2">
      <c r="A198" s="9">
        <v>197</v>
      </c>
      <c r="B198" s="3" t="s">
        <v>143</v>
      </c>
      <c r="C198" s="3" t="s">
        <v>206</v>
      </c>
      <c r="D198" s="3" t="s">
        <v>135</v>
      </c>
      <c r="E198" s="10">
        <f ca="1">TODAY()-2978</f>
        <v>41244</v>
      </c>
      <c r="F198" s="4" t="b">
        <v>1</v>
      </c>
      <c r="G198" s="11">
        <v>263500</v>
      </c>
      <c r="H198" s="12" t="s">
        <v>219</v>
      </c>
    </row>
    <row r="199" spans="1:8" x14ac:dyDescent="0.2">
      <c r="A199" s="9">
        <v>198</v>
      </c>
      <c r="B199" s="3" t="s">
        <v>180</v>
      </c>
      <c r="C199" s="3" t="s">
        <v>207</v>
      </c>
      <c r="D199" s="3" t="s">
        <v>127</v>
      </c>
      <c r="E199" s="10">
        <f ca="1">TODAY()-2979</f>
        <v>41243</v>
      </c>
      <c r="F199" s="4" t="b">
        <v>0</v>
      </c>
      <c r="G199" s="11">
        <v>959300</v>
      </c>
      <c r="H199" s="12" t="s">
        <v>220</v>
      </c>
    </row>
    <row r="200" spans="1:8" x14ac:dyDescent="0.2">
      <c r="A200" s="9">
        <v>199</v>
      </c>
      <c r="B200" s="3" t="s">
        <v>150</v>
      </c>
      <c r="C200" s="3" t="s">
        <v>149</v>
      </c>
      <c r="D200" s="3" t="s">
        <v>124</v>
      </c>
      <c r="E200" s="10">
        <f ca="1">TODAY()-2969</f>
        <v>41253</v>
      </c>
      <c r="F200" s="4" t="b">
        <v>1</v>
      </c>
      <c r="G200" s="11">
        <v>249100</v>
      </c>
      <c r="H200" s="12" t="s">
        <v>217</v>
      </c>
    </row>
    <row r="201" spans="1:8" x14ac:dyDescent="0.2">
      <c r="A201" s="9">
        <v>200</v>
      </c>
      <c r="B201" s="3" t="s">
        <v>163</v>
      </c>
      <c r="C201" s="3" t="s">
        <v>162</v>
      </c>
      <c r="D201" s="3" t="s">
        <v>127</v>
      </c>
      <c r="E201" s="10">
        <f ca="1">TODAY()-2970</f>
        <v>41252</v>
      </c>
      <c r="F201" s="4" t="b">
        <v>1</v>
      </c>
      <c r="G201" s="11">
        <v>271900</v>
      </c>
      <c r="H201" s="12" t="s">
        <v>217</v>
      </c>
    </row>
    <row r="202" spans="1:8" x14ac:dyDescent="0.2">
      <c r="A202" s="9">
        <v>201</v>
      </c>
      <c r="B202" s="3" t="s">
        <v>155</v>
      </c>
      <c r="C202" s="3" t="s">
        <v>174</v>
      </c>
      <c r="D202" s="3" t="s">
        <v>131</v>
      </c>
      <c r="E202" s="10">
        <f ca="1">TODAY()-2970</f>
        <v>41252</v>
      </c>
      <c r="F202" s="4" t="b">
        <v>1</v>
      </c>
      <c r="G202" s="11">
        <v>371100</v>
      </c>
      <c r="H202" s="12" t="s">
        <v>220</v>
      </c>
    </row>
    <row r="203" spans="1:8" x14ac:dyDescent="0.2">
      <c r="A203" s="9">
        <v>202</v>
      </c>
      <c r="B203" s="3" t="s">
        <v>133</v>
      </c>
      <c r="C203" s="3" t="s">
        <v>171</v>
      </c>
      <c r="D203" s="3" t="s">
        <v>131</v>
      </c>
      <c r="E203" s="10">
        <f ca="1">TODAY()-2966</f>
        <v>41256</v>
      </c>
      <c r="F203" s="4" t="b">
        <v>0</v>
      </c>
      <c r="G203" s="11">
        <v>246800</v>
      </c>
      <c r="H203" s="12" t="s">
        <v>217</v>
      </c>
    </row>
    <row r="204" spans="1:8" x14ac:dyDescent="0.2">
      <c r="A204" s="9">
        <v>203</v>
      </c>
      <c r="B204" s="3" t="s">
        <v>139</v>
      </c>
      <c r="C204" s="3" t="s">
        <v>141</v>
      </c>
      <c r="D204" s="3" t="s">
        <v>124</v>
      </c>
      <c r="E204" s="10">
        <f ca="1">TODAY()-2964</f>
        <v>41258</v>
      </c>
      <c r="F204" s="4" t="b">
        <v>0</v>
      </c>
      <c r="G204" s="11">
        <v>255300</v>
      </c>
      <c r="H204" s="12" t="s">
        <v>220</v>
      </c>
    </row>
    <row r="205" spans="1:8" x14ac:dyDescent="0.2">
      <c r="A205" s="9">
        <v>204</v>
      </c>
      <c r="B205" s="3" t="s">
        <v>133</v>
      </c>
      <c r="C205" s="3" t="s">
        <v>171</v>
      </c>
      <c r="D205" s="3" t="s">
        <v>131</v>
      </c>
      <c r="E205" s="10">
        <f ca="1">TODAY()-2968</f>
        <v>41254</v>
      </c>
      <c r="F205" s="4" t="b">
        <v>0</v>
      </c>
      <c r="G205" s="11">
        <v>275500</v>
      </c>
      <c r="H205" s="12" t="s">
        <v>217</v>
      </c>
    </row>
    <row r="206" spans="1:8" x14ac:dyDescent="0.2">
      <c r="A206" s="9">
        <v>205</v>
      </c>
      <c r="B206" s="3" t="s">
        <v>137</v>
      </c>
      <c r="C206" s="3" t="s">
        <v>169</v>
      </c>
      <c r="D206" s="3" t="s">
        <v>135</v>
      </c>
      <c r="E206" s="10">
        <f ca="1">TODAY()-2962</f>
        <v>41260</v>
      </c>
      <c r="F206" s="4" t="b">
        <v>0</v>
      </c>
      <c r="G206" s="11">
        <v>252000</v>
      </c>
      <c r="H206" s="12" t="s">
        <v>218</v>
      </c>
    </row>
    <row r="207" spans="1:8" x14ac:dyDescent="0.2">
      <c r="A207" s="9">
        <v>206</v>
      </c>
      <c r="B207" s="3" t="s">
        <v>143</v>
      </c>
      <c r="C207" s="3" t="s">
        <v>142</v>
      </c>
      <c r="D207" s="3" t="s">
        <v>121</v>
      </c>
      <c r="E207" s="10">
        <f ca="1">TODAY()-2957</f>
        <v>41265</v>
      </c>
      <c r="F207" s="4" t="b">
        <v>0</v>
      </c>
      <c r="G207" s="11">
        <v>283600</v>
      </c>
      <c r="H207" s="12" t="s">
        <v>220</v>
      </c>
    </row>
    <row r="208" spans="1:8" x14ac:dyDescent="0.2">
      <c r="A208" s="9">
        <v>207</v>
      </c>
      <c r="B208" s="3" t="s">
        <v>137</v>
      </c>
      <c r="C208" s="3" t="s">
        <v>167</v>
      </c>
      <c r="D208" s="3" t="s">
        <v>135</v>
      </c>
      <c r="E208" s="10">
        <f ca="1">TODAY()-2949</f>
        <v>41273</v>
      </c>
      <c r="F208" s="4" t="b">
        <v>1</v>
      </c>
      <c r="G208" s="11">
        <v>287300</v>
      </c>
      <c r="H208" s="12" t="s">
        <v>218</v>
      </c>
    </row>
    <row r="209" spans="1:8" x14ac:dyDescent="0.2">
      <c r="A209" s="9">
        <v>208</v>
      </c>
      <c r="B209" s="3" t="s">
        <v>139</v>
      </c>
      <c r="C209" s="3" t="s">
        <v>141</v>
      </c>
      <c r="D209" s="3" t="s">
        <v>124</v>
      </c>
      <c r="E209" s="10">
        <f ca="1">TODAY()-2957</f>
        <v>41265</v>
      </c>
      <c r="F209" s="4" t="b">
        <v>1</v>
      </c>
      <c r="G209" s="11">
        <v>721100</v>
      </c>
      <c r="H209" s="12" t="s">
        <v>220</v>
      </c>
    </row>
    <row r="210" spans="1:8" x14ac:dyDescent="0.2">
      <c r="A210" s="9">
        <v>209</v>
      </c>
      <c r="B210" s="3" t="s">
        <v>197</v>
      </c>
      <c r="C210" s="3" t="s">
        <v>196</v>
      </c>
      <c r="D210" s="3" t="s">
        <v>124</v>
      </c>
      <c r="E210" s="10">
        <f ca="1">TODAY()-2948</f>
        <v>41274</v>
      </c>
      <c r="F210" s="4" t="b">
        <v>1</v>
      </c>
      <c r="G210" s="11">
        <v>338500</v>
      </c>
      <c r="H210" s="12" t="s">
        <v>219</v>
      </c>
    </row>
    <row r="211" spans="1:8" x14ac:dyDescent="0.2">
      <c r="A211" s="9">
        <v>210</v>
      </c>
      <c r="B211" s="3" t="s">
        <v>173</v>
      </c>
      <c r="C211" s="3" t="s">
        <v>200</v>
      </c>
      <c r="D211" s="3" t="s">
        <v>135</v>
      </c>
      <c r="E211" s="10">
        <f ca="1">TODAY()-2954</f>
        <v>41268</v>
      </c>
      <c r="F211" s="4" t="b">
        <v>0</v>
      </c>
      <c r="G211" s="11">
        <v>252700</v>
      </c>
      <c r="H211" s="12" t="s">
        <v>219</v>
      </c>
    </row>
    <row r="212" spans="1:8" x14ac:dyDescent="0.2">
      <c r="A212" s="9">
        <v>211</v>
      </c>
      <c r="B212" s="3" t="s">
        <v>150</v>
      </c>
      <c r="C212" s="3" t="s">
        <v>178</v>
      </c>
      <c r="D212" s="3" t="s">
        <v>121</v>
      </c>
      <c r="E212" s="10">
        <f ca="1">TODAY()-2947</f>
        <v>41275</v>
      </c>
      <c r="F212" s="4" t="b">
        <v>1</v>
      </c>
      <c r="G212" s="11">
        <v>277700</v>
      </c>
      <c r="H212" s="12" t="s">
        <v>219</v>
      </c>
    </row>
    <row r="213" spans="1:8" x14ac:dyDescent="0.2">
      <c r="A213" s="9">
        <v>212</v>
      </c>
      <c r="B213" s="3" t="s">
        <v>155</v>
      </c>
      <c r="C213" s="3" t="s">
        <v>164</v>
      </c>
      <c r="D213" s="3" t="s">
        <v>124</v>
      </c>
      <c r="E213" s="10">
        <f ca="1">TODAY()-2953</f>
        <v>41269</v>
      </c>
      <c r="F213" s="4" t="b">
        <v>0</v>
      </c>
      <c r="G213" s="11">
        <v>249200</v>
      </c>
      <c r="H213" s="12" t="s">
        <v>220</v>
      </c>
    </row>
    <row r="214" spans="1:8" x14ac:dyDescent="0.2">
      <c r="A214" s="9">
        <v>213</v>
      </c>
      <c r="B214" s="3" t="s">
        <v>155</v>
      </c>
      <c r="C214" s="3" t="s">
        <v>174</v>
      </c>
      <c r="D214" s="3" t="s">
        <v>131</v>
      </c>
      <c r="E214" s="10">
        <f ca="1">TODAY()-2949</f>
        <v>41273</v>
      </c>
      <c r="F214" s="4" t="b">
        <v>0</v>
      </c>
      <c r="G214" s="11">
        <v>258100</v>
      </c>
      <c r="H214" s="12" t="s">
        <v>220</v>
      </c>
    </row>
    <row r="215" spans="1:8" x14ac:dyDescent="0.2">
      <c r="A215" s="9">
        <v>214</v>
      </c>
      <c r="B215" s="3" t="s">
        <v>120</v>
      </c>
      <c r="C215" s="3" t="s">
        <v>165</v>
      </c>
      <c r="D215" s="3" t="s">
        <v>131</v>
      </c>
      <c r="E215" s="10">
        <f ca="1">TODAY()-2951</f>
        <v>41271</v>
      </c>
      <c r="F215" s="4" t="b">
        <v>0</v>
      </c>
      <c r="G215" s="11">
        <v>265500</v>
      </c>
      <c r="H215" s="12" t="s">
        <v>217</v>
      </c>
    </row>
    <row r="216" spans="1:8" x14ac:dyDescent="0.2">
      <c r="A216" s="9">
        <v>215</v>
      </c>
      <c r="B216" s="3" t="s">
        <v>146</v>
      </c>
      <c r="C216" s="3" t="s">
        <v>188</v>
      </c>
      <c r="D216" s="3" t="s">
        <v>121</v>
      </c>
      <c r="E216" s="10">
        <f ca="1">TODAY()-2940</f>
        <v>41282</v>
      </c>
      <c r="F216" s="4" t="b">
        <v>0</v>
      </c>
      <c r="G216" s="11">
        <v>681700</v>
      </c>
      <c r="H216" s="12" t="s">
        <v>218</v>
      </c>
    </row>
    <row r="217" spans="1:8" x14ac:dyDescent="0.2">
      <c r="A217" s="9">
        <v>216</v>
      </c>
      <c r="B217" s="3" t="s">
        <v>173</v>
      </c>
      <c r="C217" s="3" t="s">
        <v>200</v>
      </c>
      <c r="D217" s="3" t="s">
        <v>135</v>
      </c>
      <c r="E217" s="10">
        <f ca="1">TODAY()-2942</f>
        <v>41280</v>
      </c>
      <c r="F217" s="4" t="b">
        <v>0</v>
      </c>
      <c r="G217" s="11">
        <v>329200</v>
      </c>
      <c r="H217" s="12" t="s">
        <v>219</v>
      </c>
    </row>
    <row r="218" spans="1:8" x14ac:dyDescent="0.2">
      <c r="A218" s="9">
        <v>217</v>
      </c>
      <c r="B218" s="3" t="s">
        <v>197</v>
      </c>
      <c r="C218" s="3" t="s">
        <v>196</v>
      </c>
      <c r="D218" s="3" t="s">
        <v>124</v>
      </c>
      <c r="E218" s="10">
        <f ca="1">TODAY()-2942</f>
        <v>41280</v>
      </c>
      <c r="F218" s="4" t="b">
        <v>1</v>
      </c>
      <c r="G218" s="11">
        <v>246000</v>
      </c>
      <c r="H218" s="12" t="s">
        <v>219</v>
      </c>
    </row>
    <row r="219" spans="1:8" x14ac:dyDescent="0.2">
      <c r="A219" s="9">
        <v>218</v>
      </c>
      <c r="B219" s="3" t="s">
        <v>133</v>
      </c>
      <c r="C219" s="3" t="s">
        <v>208</v>
      </c>
      <c r="D219" s="3" t="s">
        <v>124</v>
      </c>
      <c r="E219" s="10">
        <f ca="1">TODAY()-2935</f>
        <v>41287</v>
      </c>
      <c r="F219" s="4" t="b">
        <v>0</v>
      </c>
      <c r="G219" s="11">
        <v>263300</v>
      </c>
      <c r="H219" s="12" t="s">
        <v>217</v>
      </c>
    </row>
    <row r="220" spans="1:8" x14ac:dyDescent="0.2">
      <c r="A220" s="9">
        <v>219</v>
      </c>
      <c r="B220" s="3" t="s">
        <v>146</v>
      </c>
      <c r="C220" s="3" t="s">
        <v>182</v>
      </c>
      <c r="D220" s="3" t="s">
        <v>121</v>
      </c>
      <c r="E220" s="10">
        <f ca="1">TODAY()-2930</f>
        <v>41292</v>
      </c>
      <c r="F220" s="4" t="b">
        <v>0</v>
      </c>
      <c r="G220" s="11">
        <v>902100</v>
      </c>
      <c r="H220" s="12" t="s">
        <v>218</v>
      </c>
    </row>
    <row r="221" spans="1:8" x14ac:dyDescent="0.2">
      <c r="A221" s="9">
        <v>220</v>
      </c>
      <c r="B221" s="3" t="s">
        <v>120</v>
      </c>
      <c r="C221" s="3" t="s">
        <v>195</v>
      </c>
      <c r="D221" s="3" t="s">
        <v>121</v>
      </c>
      <c r="E221" s="10">
        <f ca="1">TODAY()-2936</f>
        <v>41286</v>
      </c>
      <c r="F221" s="4" t="b">
        <v>1</v>
      </c>
      <c r="G221" s="11">
        <v>294900</v>
      </c>
      <c r="H221" s="12" t="s">
        <v>219</v>
      </c>
    </row>
    <row r="222" spans="1:8" x14ac:dyDescent="0.2">
      <c r="A222" s="9">
        <v>221</v>
      </c>
      <c r="B222" s="3" t="s">
        <v>137</v>
      </c>
      <c r="C222" s="3" t="s">
        <v>151</v>
      </c>
      <c r="D222" s="3" t="s">
        <v>135</v>
      </c>
      <c r="E222" s="10">
        <f ca="1">TODAY()-2935</f>
        <v>41287</v>
      </c>
      <c r="F222" s="4" t="b">
        <v>1</v>
      </c>
      <c r="G222" s="11">
        <v>330500</v>
      </c>
      <c r="H222" s="12" t="s">
        <v>219</v>
      </c>
    </row>
    <row r="223" spans="1:8" x14ac:dyDescent="0.2">
      <c r="A223" s="9">
        <v>222</v>
      </c>
      <c r="B223" s="3" t="s">
        <v>129</v>
      </c>
      <c r="C223" s="3" t="s">
        <v>140</v>
      </c>
      <c r="D223" s="3" t="s">
        <v>135</v>
      </c>
      <c r="E223" s="10">
        <f ca="1">TODAY()-2934</f>
        <v>41288</v>
      </c>
      <c r="F223" s="4" t="b">
        <v>0</v>
      </c>
      <c r="G223" s="11">
        <v>338800</v>
      </c>
      <c r="H223" s="12" t="s">
        <v>218</v>
      </c>
    </row>
    <row r="224" spans="1:8" x14ac:dyDescent="0.2">
      <c r="A224" s="9">
        <v>223</v>
      </c>
      <c r="B224" s="3" t="s">
        <v>123</v>
      </c>
      <c r="C224" s="3" t="s">
        <v>144</v>
      </c>
      <c r="D224" s="3" t="s">
        <v>121</v>
      </c>
      <c r="E224" s="10">
        <f ca="1">TODAY()-2924</f>
        <v>41298</v>
      </c>
      <c r="F224" s="4" t="b">
        <v>0</v>
      </c>
      <c r="G224" s="11">
        <v>433500</v>
      </c>
      <c r="H224" s="12" t="s">
        <v>219</v>
      </c>
    </row>
    <row r="225" spans="1:8" x14ac:dyDescent="0.2">
      <c r="A225" s="9">
        <v>224</v>
      </c>
      <c r="B225" s="3" t="s">
        <v>146</v>
      </c>
      <c r="C225" s="3" t="s">
        <v>177</v>
      </c>
      <c r="D225" s="3" t="s">
        <v>124</v>
      </c>
      <c r="E225" s="10">
        <f ca="1">TODAY()-2920</f>
        <v>41302</v>
      </c>
      <c r="F225" s="4" t="b">
        <v>1</v>
      </c>
      <c r="G225" s="11">
        <v>491900</v>
      </c>
      <c r="H225" s="12" t="s">
        <v>217</v>
      </c>
    </row>
    <row r="226" spans="1:8" x14ac:dyDescent="0.2">
      <c r="A226" s="9">
        <v>225</v>
      </c>
      <c r="B226" s="3" t="s">
        <v>155</v>
      </c>
      <c r="C226" s="3" t="s">
        <v>164</v>
      </c>
      <c r="D226" s="3" t="s">
        <v>124</v>
      </c>
      <c r="E226" s="10">
        <f ca="1">TODAY()-2913</f>
        <v>41309</v>
      </c>
      <c r="F226" s="4" t="b">
        <v>0</v>
      </c>
      <c r="G226" s="11">
        <v>296000</v>
      </c>
      <c r="H226" s="12" t="s">
        <v>220</v>
      </c>
    </row>
    <row r="227" spans="1:8" x14ac:dyDescent="0.2">
      <c r="A227" s="9">
        <v>226</v>
      </c>
      <c r="B227" s="3" t="s">
        <v>191</v>
      </c>
      <c r="C227" s="3" t="s">
        <v>204</v>
      </c>
      <c r="D227" s="3" t="s">
        <v>135</v>
      </c>
      <c r="E227" s="10">
        <f ca="1">TODAY()-2915</f>
        <v>41307</v>
      </c>
      <c r="F227" s="4" t="b">
        <v>0</v>
      </c>
      <c r="G227" s="11">
        <v>285900</v>
      </c>
      <c r="H227" s="12" t="s">
        <v>220</v>
      </c>
    </row>
    <row r="228" spans="1:8" x14ac:dyDescent="0.2">
      <c r="A228" s="9">
        <v>227</v>
      </c>
      <c r="B228" s="3" t="s">
        <v>120</v>
      </c>
      <c r="C228" s="3" t="s">
        <v>165</v>
      </c>
      <c r="D228" s="3" t="s">
        <v>131</v>
      </c>
      <c r="E228" s="10">
        <f ca="1">TODAY()-2907</f>
        <v>41315</v>
      </c>
      <c r="F228" s="4" t="b">
        <v>0</v>
      </c>
      <c r="G228" s="11">
        <v>412600</v>
      </c>
      <c r="H228" s="12" t="s">
        <v>217</v>
      </c>
    </row>
    <row r="229" spans="1:8" x14ac:dyDescent="0.2">
      <c r="A229" s="9">
        <v>228</v>
      </c>
      <c r="B229" s="3" t="s">
        <v>197</v>
      </c>
      <c r="C229" s="3" t="s">
        <v>196</v>
      </c>
      <c r="D229" s="3" t="s">
        <v>124</v>
      </c>
      <c r="E229" s="10">
        <f ca="1">TODAY()-2898</f>
        <v>41324</v>
      </c>
      <c r="F229" s="4" t="b">
        <v>1</v>
      </c>
      <c r="G229" s="11">
        <v>271100</v>
      </c>
      <c r="H229" s="12" t="s">
        <v>219</v>
      </c>
    </row>
    <row r="230" spans="1:8" x14ac:dyDescent="0.2">
      <c r="A230" s="9">
        <v>229</v>
      </c>
      <c r="B230" s="3" t="s">
        <v>148</v>
      </c>
      <c r="C230" s="3" t="s">
        <v>187</v>
      </c>
      <c r="D230" s="3" t="s">
        <v>131</v>
      </c>
      <c r="E230" s="10">
        <f ca="1">TODAY()-2894</f>
        <v>41328</v>
      </c>
      <c r="F230" s="4" t="b">
        <v>0</v>
      </c>
      <c r="G230" s="11">
        <v>253800</v>
      </c>
      <c r="H230" s="12" t="s">
        <v>218</v>
      </c>
    </row>
    <row r="231" spans="1:8" x14ac:dyDescent="0.2">
      <c r="A231" s="9">
        <v>230</v>
      </c>
      <c r="B231" s="3" t="s">
        <v>123</v>
      </c>
      <c r="C231" s="3" t="s">
        <v>144</v>
      </c>
      <c r="D231" s="3" t="s">
        <v>121</v>
      </c>
      <c r="E231" s="10">
        <f ca="1">TODAY()-2899</f>
        <v>41323</v>
      </c>
      <c r="F231" s="4" t="b">
        <v>0</v>
      </c>
      <c r="G231" s="11">
        <v>253800</v>
      </c>
      <c r="H231" s="12" t="s">
        <v>219</v>
      </c>
    </row>
    <row r="232" spans="1:8" x14ac:dyDescent="0.2">
      <c r="A232" s="9">
        <v>231</v>
      </c>
      <c r="B232" s="3" t="s">
        <v>180</v>
      </c>
      <c r="C232" s="3" t="s">
        <v>179</v>
      </c>
      <c r="D232" s="3" t="s">
        <v>127</v>
      </c>
      <c r="E232" s="10">
        <f ca="1">TODAY()-2898</f>
        <v>41324</v>
      </c>
      <c r="F232" s="4" t="b">
        <v>1</v>
      </c>
      <c r="G232" s="11">
        <v>904400</v>
      </c>
      <c r="H232" s="12" t="s">
        <v>220</v>
      </c>
    </row>
    <row r="233" spans="1:8" x14ac:dyDescent="0.2">
      <c r="A233" s="9">
        <v>232</v>
      </c>
      <c r="B233" s="3" t="s">
        <v>155</v>
      </c>
      <c r="C233" s="3" t="s">
        <v>154</v>
      </c>
      <c r="D233" s="3" t="s">
        <v>124</v>
      </c>
      <c r="E233" s="10">
        <f ca="1">TODAY()-2893</f>
        <v>41329</v>
      </c>
      <c r="F233" s="4" t="b">
        <v>1</v>
      </c>
      <c r="G233" s="11">
        <v>469600</v>
      </c>
      <c r="H233" s="12" t="s">
        <v>220</v>
      </c>
    </row>
    <row r="234" spans="1:8" x14ac:dyDescent="0.2">
      <c r="A234" s="9">
        <v>233</v>
      </c>
      <c r="B234" s="3" t="s">
        <v>133</v>
      </c>
      <c r="C234" s="3" t="s">
        <v>132</v>
      </c>
      <c r="D234" s="3" t="s">
        <v>121</v>
      </c>
      <c r="E234" s="10">
        <f ca="1">TODAY()-2886</f>
        <v>41336</v>
      </c>
      <c r="F234" s="4" t="b">
        <v>0</v>
      </c>
      <c r="G234" s="11">
        <v>309600</v>
      </c>
      <c r="H234" s="12" t="s">
        <v>217</v>
      </c>
    </row>
    <row r="235" spans="1:8" x14ac:dyDescent="0.2">
      <c r="A235" s="9">
        <v>234</v>
      </c>
      <c r="B235" s="3" t="s">
        <v>123</v>
      </c>
      <c r="C235" s="3" t="s">
        <v>122</v>
      </c>
      <c r="D235" s="3" t="s">
        <v>124</v>
      </c>
      <c r="E235" s="10">
        <f ca="1">TODAY()-2890</f>
        <v>41332</v>
      </c>
      <c r="F235" s="4" t="b">
        <v>0</v>
      </c>
      <c r="G235" s="11">
        <v>332700</v>
      </c>
      <c r="H235" s="12" t="s">
        <v>218</v>
      </c>
    </row>
    <row r="236" spans="1:8" x14ac:dyDescent="0.2">
      <c r="A236" s="9">
        <v>235</v>
      </c>
      <c r="B236" s="3" t="s">
        <v>148</v>
      </c>
      <c r="C236" s="3" t="s">
        <v>147</v>
      </c>
      <c r="D236" s="3" t="s">
        <v>121</v>
      </c>
      <c r="E236" s="10">
        <f ca="1">TODAY()-2885</f>
        <v>41337</v>
      </c>
      <c r="F236" s="4" t="b">
        <v>0</v>
      </c>
      <c r="G236" s="11">
        <v>288700</v>
      </c>
      <c r="H236" s="12" t="s">
        <v>218</v>
      </c>
    </row>
    <row r="237" spans="1:8" x14ac:dyDescent="0.2">
      <c r="A237" s="9">
        <v>236</v>
      </c>
      <c r="B237" s="3" t="s">
        <v>129</v>
      </c>
      <c r="C237" s="3" t="s">
        <v>161</v>
      </c>
      <c r="D237" s="3" t="s">
        <v>121</v>
      </c>
      <c r="E237" s="10">
        <f ca="1">TODAY()-2875</f>
        <v>41347</v>
      </c>
      <c r="F237" s="4" t="b">
        <v>0</v>
      </c>
      <c r="G237" s="11">
        <v>868000</v>
      </c>
      <c r="H237" s="12" t="s">
        <v>218</v>
      </c>
    </row>
    <row r="238" spans="1:8" x14ac:dyDescent="0.2">
      <c r="A238" s="9">
        <v>237</v>
      </c>
      <c r="B238" s="3" t="s">
        <v>120</v>
      </c>
      <c r="C238" s="3" t="s">
        <v>195</v>
      </c>
      <c r="D238" s="3" t="s">
        <v>121</v>
      </c>
      <c r="E238" s="10">
        <f ca="1">TODAY()-2872</f>
        <v>41350</v>
      </c>
      <c r="F238" s="4" t="b">
        <v>0</v>
      </c>
      <c r="G238" s="11">
        <v>274400</v>
      </c>
      <c r="H238" s="12" t="s">
        <v>219</v>
      </c>
    </row>
    <row r="239" spans="1:8" x14ac:dyDescent="0.2">
      <c r="A239" s="9">
        <v>238</v>
      </c>
      <c r="B239" s="3" t="s">
        <v>155</v>
      </c>
      <c r="C239" s="3" t="s">
        <v>193</v>
      </c>
      <c r="D239" s="3" t="s">
        <v>124</v>
      </c>
      <c r="E239" s="10">
        <f ca="1">TODAY()-2879</f>
        <v>41343</v>
      </c>
      <c r="F239" s="4" t="b">
        <v>0</v>
      </c>
      <c r="G239" s="11">
        <v>611000</v>
      </c>
      <c r="H239" s="12" t="s">
        <v>218</v>
      </c>
    </row>
    <row r="240" spans="1:8" x14ac:dyDescent="0.2">
      <c r="A240" s="9">
        <v>239</v>
      </c>
      <c r="B240" s="3" t="s">
        <v>143</v>
      </c>
      <c r="C240" s="3" t="s">
        <v>142</v>
      </c>
      <c r="D240" s="3" t="s">
        <v>121</v>
      </c>
      <c r="E240" s="10">
        <f ca="1">TODAY()-2877</f>
        <v>41345</v>
      </c>
      <c r="F240" s="4" t="b">
        <v>0</v>
      </c>
      <c r="G240" s="11">
        <v>290500</v>
      </c>
      <c r="H240" s="12" t="s">
        <v>220</v>
      </c>
    </row>
    <row r="241" spans="1:8" x14ac:dyDescent="0.2">
      <c r="A241" s="9">
        <v>240</v>
      </c>
      <c r="B241" s="3" t="s">
        <v>120</v>
      </c>
      <c r="C241" s="3" t="s">
        <v>195</v>
      </c>
      <c r="D241" s="3" t="s">
        <v>121</v>
      </c>
      <c r="E241" s="10">
        <f ca="1">TODAY()-2878</f>
        <v>41344</v>
      </c>
      <c r="F241" s="4" t="b">
        <v>0</v>
      </c>
      <c r="G241" s="11">
        <v>304700</v>
      </c>
      <c r="H241" s="12" t="s">
        <v>219</v>
      </c>
    </row>
    <row r="242" spans="1:8" x14ac:dyDescent="0.2">
      <c r="A242" s="9">
        <v>241</v>
      </c>
      <c r="B242" s="3" t="s">
        <v>139</v>
      </c>
      <c r="C242" s="3" t="s">
        <v>192</v>
      </c>
      <c r="D242" s="3" t="s">
        <v>121</v>
      </c>
      <c r="E242" s="10">
        <f ca="1">TODAY()-2870</f>
        <v>41352</v>
      </c>
      <c r="F242" s="4" t="b">
        <v>0</v>
      </c>
      <c r="G242" s="11">
        <v>326400</v>
      </c>
      <c r="H242" s="12" t="s">
        <v>219</v>
      </c>
    </row>
    <row r="243" spans="1:8" x14ac:dyDescent="0.2">
      <c r="A243" s="9">
        <v>242</v>
      </c>
      <c r="B243" s="3" t="s">
        <v>191</v>
      </c>
      <c r="C243" s="3" t="s">
        <v>204</v>
      </c>
      <c r="D243" s="3" t="s">
        <v>135</v>
      </c>
      <c r="E243" s="10">
        <f ca="1">TODAY()-2861</f>
        <v>41361</v>
      </c>
      <c r="F243" s="4" t="b">
        <v>0</v>
      </c>
      <c r="G243" s="11">
        <v>261800</v>
      </c>
      <c r="H243" s="12" t="s">
        <v>220</v>
      </c>
    </row>
    <row r="244" spans="1:8" x14ac:dyDescent="0.2">
      <c r="A244" s="9">
        <v>243</v>
      </c>
      <c r="B244" s="3" t="s">
        <v>129</v>
      </c>
      <c r="C244" s="3" t="s">
        <v>140</v>
      </c>
      <c r="D244" s="3" t="s">
        <v>135</v>
      </c>
      <c r="E244" s="10">
        <f ca="1">TODAY()-2866</f>
        <v>41356</v>
      </c>
      <c r="F244" s="4" t="b">
        <v>0</v>
      </c>
      <c r="G244" s="11">
        <v>281600</v>
      </c>
      <c r="H244" s="12" t="s">
        <v>218</v>
      </c>
    </row>
    <row r="245" spans="1:8" x14ac:dyDescent="0.2">
      <c r="A245" s="9">
        <v>244</v>
      </c>
      <c r="B245" s="3" t="s">
        <v>126</v>
      </c>
      <c r="C245" s="3" t="s">
        <v>125</v>
      </c>
      <c r="D245" s="3" t="s">
        <v>127</v>
      </c>
      <c r="E245" s="10">
        <f ca="1">TODAY()-2863</f>
        <v>41359</v>
      </c>
      <c r="F245" s="4" t="b">
        <v>0</v>
      </c>
      <c r="G245" s="11">
        <v>298700</v>
      </c>
      <c r="H245" s="12" t="s">
        <v>219</v>
      </c>
    </row>
    <row r="246" spans="1:8" x14ac:dyDescent="0.2">
      <c r="A246" s="9">
        <v>245</v>
      </c>
      <c r="B246" s="3" t="s">
        <v>197</v>
      </c>
      <c r="C246" s="3" t="s">
        <v>196</v>
      </c>
      <c r="D246" s="3" t="s">
        <v>124</v>
      </c>
      <c r="E246" s="10">
        <f ca="1">TODAY()-2859</f>
        <v>41363</v>
      </c>
      <c r="F246" s="4" t="b">
        <v>0</v>
      </c>
      <c r="G246" s="11">
        <v>282200</v>
      </c>
      <c r="H246" s="12" t="s">
        <v>219</v>
      </c>
    </row>
    <row r="247" spans="1:8" x14ac:dyDescent="0.2">
      <c r="A247" s="9">
        <v>246</v>
      </c>
      <c r="B247" s="3" t="s">
        <v>155</v>
      </c>
      <c r="C247" s="3" t="s">
        <v>154</v>
      </c>
      <c r="D247" s="3" t="s">
        <v>124</v>
      </c>
      <c r="E247" s="10">
        <f ca="1">TODAY()-2859</f>
        <v>41363</v>
      </c>
      <c r="F247" s="4" t="b">
        <v>0</v>
      </c>
      <c r="G247" s="11">
        <v>237300</v>
      </c>
      <c r="H247" s="12" t="s">
        <v>220</v>
      </c>
    </row>
    <row r="248" spans="1:8" x14ac:dyDescent="0.2">
      <c r="A248" s="9">
        <v>247</v>
      </c>
      <c r="B248" s="3" t="s">
        <v>139</v>
      </c>
      <c r="C248" s="3" t="s">
        <v>176</v>
      </c>
      <c r="D248" s="3" t="s">
        <v>121</v>
      </c>
      <c r="E248" s="10">
        <f ca="1">TODAY()-2858</f>
        <v>41364</v>
      </c>
      <c r="F248" s="4" t="b">
        <v>0</v>
      </c>
      <c r="G248" s="11">
        <v>275600</v>
      </c>
      <c r="H248" s="12" t="s">
        <v>217</v>
      </c>
    </row>
    <row r="249" spans="1:8" x14ac:dyDescent="0.2">
      <c r="A249" s="9">
        <v>248</v>
      </c>
      <c r="B249" s="3" t="s">
        <v>146</v>
      </c>
      <c r="C249" s="3" t="s">
        <v>182</v>
      </c>
      <c r="D249" s="3" t="s">
        <v>121</v>
      </c>
      <c r="E249" s="10">
        <f ca="1">TODAY()-2854</f>
        <v>41368</v>
      </c>
      <c r="F249" s="4" t="b">
        <v>0</v>
      </c>
      <c r="G249" s="11">
        <v>251900</v>
      </c>
      <c r="H249" s="12" t="s">
        <v>218</v>
      </c>
    </row>
    <row r="250" spans="1:8" x14ac:dyDescent="0.2">
      <c r="A250" s="9">
        <v>249</v>
      </c>
      <c r="B250" s="3" t="s">
        <v>120</v>
      </c>
      <c r="C250" s="3" t="s">
        <v>195</v>
      </c>
      <c r="D250" s="3" t="s">
        <v>121</v>
      </c>
      <c r="E250" s="10">
        <f ca="1">TODAY()-2854</f>
        <v>41368</v>
      </c>
      <c r="F250" s="4" t="b">
        <v>0</v>
      </c>
      <c r="G250" s="11">
        <v>256300</v>
      </c>
      <c r="H250" s="12" t="s">
        <v>219</v>
      </c>
    </row>
    <row r="251" spans="1:8" x14ac:dyDescent="0.2">
      <c r="A251" s="9">
        <v>250</v>
      </c>
      <c r="B251" s="3" t="s">
        <v>137</v>
      </c>
      <c r="C251" s="3" t="s">
        <v>151</v>
      </c>
      <c r="D251" s="3" t="s">
        <v>135</v>
      </c>
      <c r="E251" s="10">
        <f ca="1">TODAY()-2852</f>
        <v>41370</v>
      </c>
      <c r="F251" s="4" t="b">
        <v>0</v>
      </c>
      <c r="G251" s="11">
        <v>260100</v>
      </c>
      <c r="H251" s="12" t="s">
        <v>219</v>
      </c>
    </row>
    <row r="252" spans="1:8" x14ac:dyDescent="0.2">
      <c r="A252" s="9">
        <v>251</v>
      </c>
      <c r="B252" s="3" t="s">
        <v>163</v>
      </c>
      <c r="C252" s="3" t="s">
        <v>162</v>
      </c>
      <c r="D252" s="3" t="s">
        <v>127</v>
      </c>
      <c r="E252" s="10">
        <f ca="1">TODAY()-2837</f>
        <v>41385</v>
      </c>
      <c r="F252" s="4" t="b">
        <v>1</v>
      </c>
      <c r="G252" s="11">
        <v>360400</v>
      </c>
      <c r="H252" s="12" t="s">
        <v>217</v>
      </c>
    </row>
    <row r="253" spans="1:8" x14ac:dyDescent="0.2">
      <c r="A253" s="9">
        <v>252</v>
      </c>
      <c r="B253" s="3" t="s">
        <v>155</v>
      </c>
      <c r="C253" s="3" t="s">
        <v>209</v>
      </c>
      <c r="D253" s="3" t="s">
        <v>121</v>
      </c>
      <c r="E253" s="10">
        <f ca="1">TODAY()-2833</f>
        <v>41389</v>
      </c>
      <c r="F253" s="4" t="b">
        <v>1</v>
      </c>
      <c r="G253" s="11">
        <v>242100</v>
      </c>
      <c r="H253" s="12" t="s">
        <v>219</v>
      </c>
    </row>
    <row r="254" spans="1:8" x14ac:dyDescent="0.2">
      <c r="A254" s="9">
        <v>253</v>
      </c>
      <c r="B254" s="3" t="s">
        <v>139</v>
      </c>
      <c r="C254" s="3" t="s">
        <v>176</v>
      </c>
      <c r="D254" s="3" t="s">
        <v>121</v>
      </c>
      <c r="E254" s="10">
        <f ca="1">TODAY()-2833</f>
        <v>41389</v>
      </c>
      <c r="F254" s="4" t="b">
        <v>0</v>
      </c>
      <c r="G254" s="11">
        <v>292600</v>
      </c>
      <c r="H254" s="12" t="s">
        <v>217</v>
      </c>
    </row>
    <row r="255" spans="1:8" x14ac:dyDescent="0.2">
      <c r="A255" s="9">
        <v>254</v>
      </c>
      <c r="B255" s="3" t="s">
        <v>129</v>
      </c>
      <c r="C255" s="3" t="s">
        <v>140</v>
      </c>
      <c r="D255" s="3" t="s">
        <v>135</v>
      </c>
      <c r="E255" s="10">
        <f ca="1">TODAY()-2832</f>
        <v>41390</v>
      </c>
      <c r="F255" s="4" t="b">
        <v>1</v>
      </c>
      <c r="G255" s="11">
        <v>840700</v>
      </c>
      <c r="H255" s="12" t="s">
        <v>218</v>
      </c>
    </row>
    <row r="256" spans="1:8" x14ac:dyDescent="0.2">
      <c r="A256" s="9">
        <v>255</v>
      </c>
      <c r="B256" s="3" t="s">
        <v>163</v>
      </c>
      <c r="C256" s="3" t="s">
        <v>162</v>
      </c>
      <c r="D256" s="3" t="s">
        <v>127</v>
      </c>
      <c r="E256" s="10">
        <f ca="1">TODAY()-2826</f>
        <v>41396</v>
      </c>
      <c r="F256" s="4" t="b">
        <v>1</v>
      </c>
      <c r="G256" s="11">
        <v>275800</v>
      </c>
      <c r="H256" s="12" t="s">
        <v>217</v>
      </c>
    </row>
    <row r="257" spans="1:8" x14ac:dyDescent="0.2">
      <c r="A257" s="9">
        <v>256</v>
      </c>
      <c r="B257" s="3" t="s">
        <v>146</v>
      </c>
      <c r="C257" s="3" t="s">
        <v>182</v>
      </c>
      <c r="D257" s="3" t="s">
        <v>121</v>
      </c>
      <c r="E257" s="10">
        <f ca="1">TODAY()-2828</f>
        <v>41394</v>
      </c>
      <c r="F257" s="4" t="b">
        <v>0</v>
      </c>
      <c r="G257" s="11">
        <v>1061100</v>
      </c>
      <c r="H257" s="12" t="s">
        <v>218</v>
      </c>
    </row>
    <row r="258" spans="1:8" x14ac:dyDescent="0.2">
      <c r="A258" s="9">
        <v>257</v>
      </c>
      <c r="B258" s="3" t="s">
        <v>148</v>
      </c>
      <c r="C258" s="3" t="s">
        <v>210</v>
      </c>
      <c r="D258" s="3" t="s">
        <v>131</v>
      </c>
      <c r="E258" s="10">
        <f ca="1">TODAY()-2813</f>
        <v>41409</v>
      </c>
      <c r="F258" s="4" t="b">
        <v>1</v>
      </c>
      <c r="G258" s="11">
        <v>415700</v>
      </c>
      <c r="H258" s="12" t="s">
        <v>219</v>
      </c>
    </row>
    <row r="259" spans="1:8" x14ac:dyDescent="0.2">
      <c r="A259" s="9">
        <v>258</v>
      </c>
      <c r="B259" s="3" t="s">
        <v>143</v>
      </c>
      <c r="C259" s="3" t="s">
        <v>181</v>
      </c>
      <c r="D259" s="3" t="s">
        <v>121</v>
      </c>
      <c r="E259" s="10">
        <f ca="1">TODAY()-2816</f>
        <v>41406</v>
      </c>
      <c r="F259" s="4" t="b">
        <v>0</v>
      </c>
      <c r="G259" s="11">
        <v>264000</v>
      </c>
      <c r="H259" s="12" t="s">
        <v>218</v>
      </c>
    </row>
    <row r="260" spans="1:8" x14ac:dyDescent="0.2">
      <c r="A260" s="9">
        <v>259</v>
      </c>
      <c r="B260" s="3" t="s">
        <v>191</v>
      </c>
      <c r="C260" s="3" t="s">
        <v>190</v>
      </c>
      <c r="D260" s="3" t="s">
        <v>124</v>
      </c>
      <c r="E260" s="10">
        <f ca="1">TODAY()-2818</f>
        <v>41404</v>
      </c>
      <c r="F260" s="4" t="b">
        <v>1</v>
      </c>
      <c r="G260" s="11">
        <v>294200</v>
      </c>
      <c r="H260" s="12" t="s">
        <v>217</v>
      </c>
    </row>
    <row r="261" spans="1:8" x14ac:dyDescent="0.2">
      <c r="A261" s="9">
        <v>260</v>
      </c>
      <c r="B261" s="3" t="s">
        <v>148</v>
      </c>
      <c r="C261" s="3" t="s">
        <v>172</v>
      </c>
      <c r="D261" s="3" t="s">
        <v>121</v>
      </c>
      <c r="E261" s="10">
        <f ca="1">TODAY()-2812</f>
        <v>41410</v>
      </c>
      <c r="F261" s="4" t="b">
        <v>1</v>
      </c>
      <c r="G261" s="11">
        <v>278900</v>
      </c>
      <c r="H261" s="12" t="s">
        <v>218</v>
      </c>
    </row>
    <row r="262" spans="1:8" x14ac:dyDescent="0.2">
      <c r="A262" s="9">
        <v>261</v>
      </c>
      <c r="B262" s="3" t="s">
        <v>155</v>
      </c>
      <c r="C262" s="3" t="s">
        <v>164</v>
      </c>
      <c r="D262" s="3" t="s">
        <v>124</v>
      </c>
      <c r="E262" s="10">
        <f ca="1">TODAY()-2808</f>
        <v>41414</v>
      </c>
      <c r="F262" s="4" t="b">
        <v>1</v>
      </c>
      <c r="G262" s="11">
        <v>808100</v>
      </c>
      <c r="H262" s="12" t="s">
        <v>220</v>
      </c>
    </row>
    <row r="263" spans="1:8" x14ac:dyDescent="0.2">
      <c r="A263" s="9">
        <v>262</v>
      </c>
      <c r="B263" s="3" t="s">
        <v>143</v>
      </c>
      <c r="C263" s="3" t="s">
        <v>166</v>
      </c>
      <c r="D263" s="3" t="s">
        <v>121</v>
      </c>
      <c r="E263" s="10">
        <f ca="1">TODAY()-2801</f>
        <v>41421</v>
      </c>
      <c r="F263" s="4" t="b">
        <v>0</v>
      </c>
      <c r="G263" s="11">
        <v>894100</v>
      </c>
      <c r="H263" s="12" t="s">
        <v>220</v>
      </c>
    </row>
    <row r="264" spans="1:8" x14ac:dyDescent="0.2">
      <c r="A264" s="9">
        <v>263</v>
      </c>
      <c r="B264" s="3" t="s">
        <v>191</v>
      </c>
      <c r="C264" s="3" t="s">
        <v>199</v>
      </c>
      <c r="D264" s="3" t="s">
        <v>135</v>
      </c>
      <c r="E264" s="10">
        <f ca="1">TODAY()-2783</f>
        <v>41439</v>
      </c>
      <c r="F264" s="4" t="b">
        <v>0</v>
      </c>
      <c r="G264" s="11">
        <v>944500</v>
      </c>
      <c r="H264" s="12" t="s">
        <v>218</v>
      </c>
    </row>
    <row r="265" spans="1:8" x14ac:dyDescent="0.2">
      <c r="A265" s="9">
        <v>264</v>
      </c>
      <c r="B265" s="3" t="s">
        <v>155</v>
      </c>
      <c r="C265" s="3" t="s">
        <v>209</v>
      </c>
      <c r="D265" s="3" t="s">
        <v>121</v>
      </c>
      <c r="E265" s="10">
        <f ca="1">TODAY()-2780</f>
        <v>41442</v>
      </c>
      <c r="F265" s="4" t="b">
        <v>0</v>
      </c>
      <c r="G265" s="11">
        <v>273400</v>
      </c>
      <c r="H265" s="12" t="s">
        <v>219</v>
      </c>
    </row>
    <row r="266" spans="1:8" x14ac:dyDescent="0.2">
      <c r="A266" s="9">
        <v>265</v>
      </c>
      <c r="B266" s="3" t="s">
        <v>191</v>
      </c>
      <c r="C266" s="3" t="s">
        <v>199</v>
      </c>
      <c r="D266" s="3" t="s">
        <v>135</v>
      </c>
      <c r="E266" s="10">
        <f ca="1">TODAY()-2779</f>
        <v>41443</v>
      </c>
      <c r="F266" s="4" t="b">
        <v>1</v>
      </c>
      <c r="G266" s="11">
        <v>365800</v>
      </c>
      <c r="H266" s="12" t="s">
        <v>218</v>
      </c>
    </row>
    <row r="267" spans="1:8" x14ac:dyDescent="0.2">
      <c r="A267" s="9">
        <v>266</v>
      </c>
      <c r="B267" s="3" t="s">
        <v>120</v>
      </c>
      <c r="C267" s="3" t="s">
        <v>119</v>
      </c>
      <c r="D267" s="3" t="s">
        <v>121</v>
      </c>
      <c r="E267" s="10">
        <f ca="1">TODAY()-2774</f>
        <v>41448</v>
      </c>
      <c r="F267" s="4" t="b">
        <v>0</v>
      </c>
      <c r="G267" s="11">
        <v>263400</v>
      </c>
      <c r="H267" s="12" t="s">
        <v>217</v>
      </c>
    </row>
    <row r="268" spans="1:8" x14ac:dyDescent="0.2">
      <c r="A268" s="9">
        <v>267</v>
      </c>
      <c r="B268" s="3" t="s">
        <v>120</v>
      </c>
      <c r="C268" s="3" t="s">
        <v>195</v>
      </c>
      <c r="D268" s="3" t="s">
        <v>121</v>
      </c>
      <c r="E268" s="10">
        <f ca="1">TODAY()-2776</f>
        <v>41446</v>
      </c>
      <c r="F268" s="4" t="b">
        <v>1</v>
      </c>
      <c r="G268" s="11">
        <v>312600</v>
      </c>
      <c r="H268" s="12" t="s">
        <v>219</v>
      </c>
    </row>
    <row r="269" spans="1:8" x14ac:dyDescent="0.2">
      <c r="A269" s="9">
        <v>268</v>
      </c>
      <c r="B269" s="3" t="s">
        <v>150</v>
      </c>
      <c r="C269" s="3" t="s">
        <v>175</v>
      </c>
      <c r="D269" s="3" t="s">
        <v>121</v>
      </c>
      <c r="E269" s="10">
        <f ca="1">TODAY()-2765</f>
        <v>41457</v>
      </c>
      <c r="F269" s="4" t="b">
        <v>0</v>
      </c>
      <c r="G269" s="11">
        <v>261500</v>
      </c>
      <c r="H269" s="12" t="s">
        <v>220</v>
      </c>
    </row>
    <row r="270" spans="1:8" x14ac:dyDescent="0.2">
      <c r="A270" s="9">
        <v>269</v>
      </c>
      <c r="B270" s="3" t="s">
        <v>123</v>
      </c>
      <c r="C270" s="3" t="s">
        <v>122</v>
      </c>
      <c r="D270" s="3" t="s">
        <v>124</v>
      </c>
      <c r="E270" s="10">
        <f ca="1">TODAY()-2765</f>
        <v>41457</v>
      </c>
      <c r="F270" s="4" t="b">
        <v>0</v>
      </c>
      <c r="G270" s="11">
        <v>250300</v>
      </c>
      <c r="H270" s="12" t="s">
        <v>218</v>
      </c>
    </row>
    <row r="271" spans="1:8" x14ac:dyDescent="0.2">
      <c r="A271" s="9">
        <v>270</v>
      </c>
      <c r="B271" s="3" t="s">
        <v>133</v>
      </c>
      <c r="C271" s="3" t="s">
        <v>171</v>
      </c>
      <c r="D271" s="3" t="s">
        <v>131</v>
      </c>
      <c r="E271" s="10">
        <f ca="1">TODAY()-2755</f>
        <v>41467</v>
      </c>
      <c r="F271" s="4" t="b">
        <v>0</v>
      </c>
      <c r="G271" s="11">
        <v>809300</v>
      </c>
      <c r="H271" s="12" t="s">
        <v>217</v>
      </c>
    </row>
    <row r="272" spans="1:8" x14ac:dyDescent="0.2">
      <c r="A272" s="9">
        <v>271</v>
      </c>
      <c r="B272" s="3" t="s">
        <v>120</v>
      </c>
      <c r="C272" s="3" t="s">
        <v>205</v>
      </c>
      <c r="D272" s="3" t="s">
        <v>131</v>
      </c>
      <c r="E272" s="10">
        <f ca="1">TODAY()-2753</f>
        <v>41469</v>
      </c>
      <c r="F272" s="4" t="b">
        <v>0</v>
      </c>
      <c r="G272" s="11">
        <v>927700</v>
      </c>
      <c r="H272" s="12" t="s">
        <v>219</v>
      </c>
    </row>
    <row r="273" spans="1:8" x14ac:dyDescent="0.2">
      <c r="A273" s="9">
        <v>272</v>
      </c>
      <c r="B273" s="3" t="s">
        <v>139</v>
      </c>
      <c r="C273" s="3" t="s">
        <v>138</v>
      </c>
      <c r="D273" s="3" t="s">
        <v>135</v>
      </c>
      <c r="E273" s="10">
        <f ca="1">TODAY()-2756</f>
        <v>41466</v>
      </c>
      <c r="F273" s="4" t="b">
        <v>0</v>
      </c>
      <c r="G273" s="11">
        <v>1029100</v>
      </c>
      <c r="H273" s="12" t="s">
        <v>220</v>
      </c>
    </row>
    <row r="274" spans="1:8" x14ac:dyDescent="0.2">
      <c r="A274" s="9">
        <v>273</v>
      </c>
      <c r="B274" s="3" t="s">
        <v>120</v>
      </c>
      <c r="C274" s="3" t="s">
        <v>156</v>
      </c>
      <c r="D274" s="3" t="s">
        <v>121</v>
      </c>
      <c r="E274" s="10">
        <f ca="1">TODAY()-2759</f>
        <v>41463</v>
      </c>
      <c r="F274" s="4" t="b">
        <v>0</v>
      </c>
      <c r="G274" s="11">
        <v>280200</v>
      </c>
      <c r="H274" s="12" t="s">
        <v>220</v>
      </c>
    </row>
    <row r="275" spans="1:8" x14ac:dyDescent="0.2">
      <c r="A275" s="9">
        <v>274</v>
      </c>
      <c r="B275" s="3" t="s">
        <v>139</v>
      </c>
      <c r="C275" s="3" t="s">
        <v>176</v>
      </c>
      <c r="D275" s="3" t="s">
        <v>121</v>
      </c>
      <c r="E275" s="10">
        <f ca="1">TODAY()-2755</f>
        <v>41467</v>
      </c>
      <c r="F275" s="4" t="b">
        <v>0</v>
      </c>
      <c r="G275" s="11">
        <v>241500</v>
      </c>
      <c r="H275" s="12" t="s">
        <v>217</v>
      </c>
    </row>
    <row r="276" spans="1:8" x14ac:dyDescent="0.2">
      <c r="A276" s="9">
        <v>275</v>
      </c>
      <c r="B276" s="3" t="s">
        <v>146</v>
      </c>
      <c r="C276" s="3" t="s">
        <v>177</v>
      </c>
      <c r="D276" s="3" t="s">
        <v>124</v>
      </c>
      <c r="E276" s="10">
        <f ca="1">TODAY()-2752</f>
        <v>41470</v>
      </c>
      <c r="F276" s="4" t="b">
        <v>1</v>
      </c>
      <c r="G276" s="11">
        <v>269800</v>
      </c>
      <c r="H276" s="12" t="s">
        <v>217</v>
      </c>
    </row>
    <row r="277" spans="1:8" x14ac:dyDescent="0.2">
      <c r="A277" s="9">
        <v>276</v>
      </c>
      <c r="B277" s="3" t="s">
        <v>133</v>
      </c>
      <c r="C277" s="3" t="s">
        <v>211</v>
      </c>
      <c r="D277" s="3" t="s">
        <v>124</v>
      </c>
      <c r="E277" s="10">
        <f ca="1">TODAY()-2755</f>
        <v>41467</v>
      </c>
      <c r="F277" s="4" t="b">
        <v>1</v>
      </c>
      <c r="G277" s="11">
        <v>274200</v>
      </c>
      <c r="H277" s="12" t="s">
        <v>219</v>
      </c>
    </row>
    <row r="278" spans="1:8" x14ac:dyDescent="0.2">
      <c r="A278" s="9">
        <v>277</v>
      </c>
      <c r="B278" s="3" t="s">
        <v>137</v>
      </c>
      <c r="C278" s="3" t="s">
        <v>151</v>
      </c>
      <c r="D278" s="3" t="s">
        <v>135</v>
      </c>
      <c r="E278" s="10">
        <f ca="1">TODAY()-2748</f>
        <v>41474</v>
      </c>
      <c r="F278" s="4" t="b">
        <v>1</v>
      </c>
      <c r="G278" s="11">
        <v>306000</v>
      </c>
      <c r="H278" s="12" t="s">
        <v>219</v>
      </c>
    </row>
    <row r="279" spans="1:8" x14ac:dyDescent="0.2">
      <c r="A279" s="9">
        <v>278</v>
      </c>
      <c r="B279" s="3" t="s">
        <v>148</v>
      </c>
      <c r="C279" s="3" t="s">
        <v>210</v>
      </c>
      <c r="D279" s="3" t="s">
        <v>131</v>
      </c>
      <c r="E279" s="10">
        <f ca="1">TODAY()-2748</f>
        <v>41474</v>
      </c>
      <c r="F279" s="4" t="b">
        <v>0</v>
      </c>
      <c r="G279" s="11">
        <v>288300</v>
      </c>
      <c r="H279" s="12" t="s">
        <v>219</v>
      </c>
    </row>
    <row r="280" spans="1:8" x14ac:dyDescent="0.2">
      <c r="A280" s="9">
        <v>279</v>
      </c>
      <c r="B280" s="3" t="s">
        <v>143</v>
      </c>
      <c r="C280" s="3" t="s">
        <v>166</v>
      </c>
      <c r="D280" s="3" t="s">
        <v>121</v>
      </c>
      <c r="E280" s="10">
        <f ca="1">TODAY()-2744</f>
        <v>41478</v>
      </c>
      <c r="F280" s="4" t="b">
        <v>0</v>
      </c>
      <c r="G280" s="11">
        <v>257500</v>
      </c>
      <c r="H280" s="12" t="s">
        <v>220</v>
      </c>
    </row>
    <row r="281" spans="1:8" x14ac:dyDescent="0.2">
      <c r="A281" s="9">
        <v>280</v>
      </c>
      <c r="B281" s="3" t="s">
        <v>150</v>
      </c>
      <c r="C281" s="3" t="s">
        <v>149</v>
      </c>
      <c r="D281" s="3" t="s">
        <v>124</v>
      </c>
      <c r="E281" s="10">
        <f ca="1">TODAY()-2747</f>
        <v>41475</v>
      </c>
      <c r="F281" s="4" t="b">
        <v>1</v>
      </c>
      <c r="G281" s="11">
        <v>256200</v>
      </c>
      <c r="H281" s="12" t="s">
        <v>217</v>
      </c>
    </row>
    <row r="282" spans="1:8" x14ac:dyDescent="0.2">
      <c r="A282" s="9">
        <v>281</v>
      </c>
      <c r="B282" s="3" t="s">
        <v>129</v>
      </c>
      <c r="C282" s="3" t="s">
        <v>134</v>
      </c>
      <c r="D282" s="3" t="s">
        <v>135</v>
      </c>
      <c r="E282" s="10">
        <f ca="1">TODAY()-2742</f>
        <v>41480</v>
      </c>
      <c r="F282" s="4" t="b">
        <v>0</v>
      </c>
      <c r="G282" s="11">
        <v>460700</v>
      </c>
      <c r="H282" s="12" t="s">
        <v>220</v>
      </c>
    </row>
    <row r="283" spans="1:8" x14ac:dyDescent="0.2">
      <c r="A283" s="9">
        <v>282</v>
      </c>
      <c r="B283" s="3" t="s">
        <v>146</v>
      </c>
      <c r="C283" s="3" t="s">
        <v>188</v>
      </c>
      <c r="D283" s="3" t="s">
        <v>121</v>
      </c>
      <c r="E283" s="10">
        <f ca="1">TODAY()-2744</f>
        <v>41478</v>
      </c>
      <c r="F283" s="4" t="b">
        <v>0</v>
      </c>
      <c r="G283" s="11">
        <v>497400</v>
      </c>
      <c r="H283" s="12" t="s">
        <v>218</v>
      </c>
    </row>
    <row r="284" spans="1:8" x14ac:dyDescent="0.2">
      <c r="A284" s="9">
        <v>283</v>
      </c>
      <c r="B284" s="3" t="s">
        <v>120</v>
      </c>
      <c r="C284" s="3" t="s">
        <v>170</v>
      </c>
      <c r="D284" s="3" t="s">
        <v>121</v>
      </c>
      <c r="E284" s="10">
        <f ca="1">TODAY()-2736</f>
        <v>41486</v>
      </c>
      <c r="F284" s="4" t="b">
        <v>1</v>
      </c>
      <c r="G284" s="11">
        <v>276700</v>
      </c>
      <c r="H284" s="12" t="s">
        <v>220</v>
      </c>
    </row>
    <row r="285" spans="1:8" x14ac:dyDescent="0.2">
      <c r="A285" s="9">
        <v>284</v>
      </c>
      <c r="B285" s="3" t="s">
        <v>139</v>
      </c>
      <c r="C285" s="3" t="s">
        <v>192</v>
      </c>
      <c r="D285" s="3" t="s">
        <v>121</v>
      </c>
      <c r="E285" s="10">
        <f ca="1">TODAY()-2737</f>
        <v>41485</v>
      </c>
      <c r="F285" s="4" t="b">
        <v>0</v>
      </c>
      <c r="G285" s="11">
        <v>283500</v>
      </c>
      <c r="H285" s="12" t="s">
        <v>219</v>
      </c>
    </row>
    <row r="286" spans="1:8" x14ac:dyDescent="0.2">
      <c r="A286" s="9">
        <v>285</v>
      </c>
      <c r="B286" s="3" t="s">
        <v>123</v>
      </c>
      <c r="C286" s="3" t="s">
        <v>189</v>
      </c>
      <c r="D286" s="3" t="s">
        <v>121</v>
      </c>
      <c r="E286" s="10">
        <f ca="1">TODAY()-2742</f>
        <v>41480</v>
      </c>
      <c r="F286" s="4" t="b">
        <v>0</v>
      </c>
      <c r="G286" s="11">
        <v>340200</v>
      </c>
      <c r="H286" s="12" t="s">
        <v>218</v>
      </c>
    </row>
    <row r="287" spans="1:8" x14ac:dyDescent="0.2">
      <c r="A287" s="9">
        <v>286</v>
      </c>
      <c r="B287" s="3" t="s">
        <v>155</v>
      </c>
      <c r="C287" s="3" t="s">
        <v>164</v>
      </c>
      <c r="D287" s="3" t="s">
        <v>124</v>
      </c>
      <c r="E287" s="10">
        <f ca="1">TODAY()-2741</f>
        <v>41481</v>
      </c>
      <c r="F287" s="4" t="b">
        <v>1</v>
      </c>
      <c r="G287" s="11">
        <v>238800</v>
      </c>
      <c r="H287" s="12" t="s">
        <v>220</v>
      </c>
    </row>
    <row r="288" spans="1:8" x14ac:dyDescent="0.2">
      <c r="A288" s="9">
        <v>287</v>
      </c>
      <c r="B288" s="3" t="s">
        <v>126</v>
      </c>
      <c r="C288" s="3" t="s">
        <v>183</v>
      </c>
      <c r="D288" s="3" t="s">
        <v>127</v>
      </c>
      <c r="E288" s="10">
        <f ca="1">TODAY()-2730</f>
        <v>41492</v>
      </c>
      <c r="F288" s="4" t="b">
        <v>1</v>
      </c>
      <c r="G288" s="11">
        <v>268000</v>
      </c>
      <c r="H288" s="12" t="s">
        <v>218</v>
      </c>
    </row>
    <row r="289" spans="1:8" x14ac:dyDescent="0.2">
      <c r="A289" s="9">
        <v>288</v>
      </c>
      <c r="B289" s="3" t="s">
        <v>191</v>
      </c>
      <c r="C289" s="3" t="s">
        <v>199</v>
      </c>
      <c r="D289" s="3" t="s">
        <v>135</v>
      </c>
      <c r="E289" s="10">
        <f ca="1">TODAY()-2728</f>
        <v>41494</v>
      </c>
      <c r="F289" s="4" t="b">
        <v>0</v>
      </c>
      <c r="G289" s="11">
        <v>442100</v>
      </c>
      <c r="H289" s="12" t="s">
        <v>218</v>
      </c>
    </row>
    <row r="290" spans="1:8" x14ac:dyDescent="0.2">
      <c r="A290" s="9">
        <v>289</v>
      </c>
      <c r="B290" s="3" t="s">
        <v>137</v>
      </c>
      <c r="C290" s="3" t="s">
        <v>169</v>
      </c>
      <c r="D290" s="3" t="s">
        <v>135</v>
      </c>
      <c r="E290" s="10">
        <f ca="1">TODAY()-2718</f>
        <v>41504</v>
      </c>
      <c r="F290" s="4" t="b">
        <v>0</v>
      </c>
      <c r="G290" s="11">
        <v>362200</v>
      </c>
      <c r="H290" s="12" t="s">
        <v>218</v>
      </c>
    </row>
    <row r="291" spans="1:8" x14ac:dyDescent="0.2">
      <c r="A291" s="9">
        <v>290</v>
      </c>
      <c r="B291" s="3" t="s">
        <v>148</v>
      </c>
      <c r="C291" s="3" t="s">
        <v>172</v>
      </c>
      <c r="D291" s="3" t="s">
        <v>121</v>
      </c>
      <c r="E291" s="10">
        <f ca="1">TODAY()-2718</f>
        <v>41504</v>
      </c>
      <c r="F291" s="4" t="b">
        <v>0</v>
      </c>
      <c r="G291" s="11">
        <v>441900</v>
      </c>
      <c r="H291" s="12" t="s">
        <v>218</v>
      </c>
    </row>
    <row r="292" spans="1:8" x14ac:dyDescent="0.2">
      <c r="A292" s="9">
        <v>291</v>
      </c>
      <c r="B292" s="3" t="s">
        <v>139</v>
      </c>
      <c r="C292" s="3" t="s">
        <v>192</v>
      </c>
      <c r="D292" s="3" t="s">
        <v>121</v>
      </c>
      <c r="E292" s="10">
        <f ca="1">TODAY()-2703</f>
        <v>41519</v>
      </c>
      <c r="F292" s="4" t="b">
        <v>1</v>
      </c>
      <c r="G292" s="11">
        <v>277200</v>
      </c>
      <c r="H292" s="12" t="s">
        <v>219</v>
      </c>
    </row>
    <row r="293" spans="1:8" x14ac:dyDescent="0.2">
      <c r="A293" s="9">
        <v>292</v>
      </c>
      <c r="B293" s="3" t="s">
        <v>139</v>
      </c>
      <c r="C293" s="3" t="s">
        <v>138</v>
      </c>
      <c r="D293" s="3" t="s">
        <v>135</v>
      </c>
      <c r="E293" s="10">
        <f ca="1">TODAY()-2708</f>
        <v>41514</v>
      </c>
      <c r="F293" s="4" t="b">
        <v>0</v>
      </c>
      <c r="G293" s="11">
        <v>1069500</v>
      </c>
      <c r="H293" s="12" t="s">
        <v>220</v>
      </c>
    </row>
    <row r="294" spans="1:8" x14ac:dyDescent="0.2">
      <c r="A294" s="9">
        <v>293</v>
      </c>
      <c r="B294" s="3" t="s">
        <v>158</v>
      </c>
      <c r="C294" s="3" t="s">
        <v>184</v>
      </c>
      <c r="D294" s="3" t="s">
        <v>127</v>
      </c>
      <c r="E294" s="10">
        <f ca="1">TODAY()-2696</f>
        <v>41526</v>
      </c>
      <c r="F294" s="4" t="b">
        <v>0</v>
      </c>
      <c r="G294" s="11">
        <v>357200</v>
      </c>
      <c r="H294" s="12" t="s">
        <v>220</v>
      </c>
    </row>
    <row r="295" spans="1:8" x14ac:dyDescent="0.2">
      <c r="A295" s="9">
        <v>294</v>
      </c>
      <c r="B295" s="3" t="s">
        <v>173</v>
      </c>
      <c r="C295" s="3" t="s">
        <v>200</v>
      </c>
      <c r="D295" s="3" t="s">
        <v>135</v>
      </c>
      <c r="E295" s="10">
        <f ca="1">TODAY()-2703</f>
        <v>41519</v>
      </c>
      <c r="F295" s="4" t="b">
        <v>0</v>
      </c>
      <c r="G295" s="11">
        <v>728600</v>
      </c>
      <c r="H295" s="12" t="s">
        <v>219</v>
      </c>
    </row>
    <row r="296" spans="1:8" x14ac:dyDescent="0.2">
      <c r="A296" s="9">
        <v>295</v>
      </c>
      <c r="B296" s="3" t="s">
        <v>120</v>
      </c>
      <c r="C296" s="3" t="s">
        <v>165</v>
      </c>
      <c r="D296" s="3" t="s">
        <v>131</v>
      </c>
      <c r="E296" s="10">
        <f ca="1">TODAY()-2688</f>
        <v>41534</v>
      </c>
      <c r="F296" s="4" t="b">
        <v>1</v>
      </c>
      <c r="G296" s="11">
        <v>750200</v>
      </c>
      <c r="H296" s="12" t="s">
        <v>217</v>
      </c>
    </row>
    <row r="297" spans="1:8" x14ac:dyDescent="0.2">
      <c r="A297" s="9">
        <v>296</v>
      </c>
      <c r="B297" s="3" t="s">
        <v>129</v>
      </c>
      <c r="C297" s="3" t="s">
        <v>130</v>
      </c>
      <c r="D297" s="3" t="s">
        <v>131</v>
      </c>
      <c r="E297" s="10">
        <f ca="1">TODAY()-2681</f>
        <v>41541</v>
      </c>
      <c r="F297" s="4" t="b">
        <v>1</v>
      </c>
      <c r="G297" s="11">
        <v>276100</v>
      </c>
      <c r="H297" s="12" t="s">
        <v>218</v>
      </c>
    </row>
    <row r="298" spans="1:8" x14ac:dyDescent="0.2">
      <c r="A298" s="9">
        <v>297</v>
      </c>
      <c r="B298" s="3" t="s">
        <v>155</v>
      </c>
      <c r="C298" s="3" t="s">
        <v>193</v>
      </c>
      <c r="D298" s="3" t="s">
        <v>124</v>
      </c>
      <c r="E298" s="10">
        <f ca="1">TODAY()-2685</f>
        <v>41537</v>
      </c>
      <c r="F298" s="4" t="b">
        <v>0</v>
      </c>
      <c r="G298" s="11">
        <v>249600</v>
      </c>
      <c r="H298" s="12" t="s">
        <v>218</v>
      </c>
    </row>
    <row r="299" spans="1:8" x14ac:dyDescent="0.2">
      <c r="A299" s="9">
        <v>298</v>
      </c>
      <c r="B299" s="3" t="s">
        <v>123</v>
      </c>
      <c r="C299" s="3" t="s">
        <v>144</v>
      </c>
      <c r="D299" s="3" t="s">
        <v>121</v>
      </c>
      <c r="E299" s="10">
        <f ca="1">TODAY()-2668</f>
        <v>41554</v>
      </c>
      <c r="F299" s="4" t="b">
        <v>0</v>
      </c>
      <c r="G299" s="11">
        <v>252200</v>
      </c>
      <c r="H299" s="12" t="s">
        <v>219</v>
      </c>
    </row>
    <row r="300" spans="1:8" x14ac:dyDescent="0.2">
      <c r="A300" s="9">
        <v>299</v>
      </c>
      <c r="B300" s="3" t="s">
        <v>163</v>
      </c>
      <c r="C300" s="3" t="s">
        <v>162</v>
      </c>
      <c r="D300" s="3" t="s">
        <v>127</v>
      </c>
      <c r="E300" s="10">
        <f ca="1">TODAY()-2664</f>
        <v>41558</v>
      </c>
      <c r="F300" s="4" t="b">
        <v>0</v>
      </c>
      <c r="G300" s="11">
        <v>299500</v>
      </c>
      <c r="H300" s="12" t="s">
        <v>217</v>
      </c>
    </row>
    <row r="301" spans="1:8" x14ac:dyDescent="0.2">
      <c r="A301" s="9">
        <v>300</v>
      </c>
      <c r="B301" s="3" t="s">
        <v>155</v>
      </c>
      <c r="C301" s="3" t="s">
        <v>186</v>
      </c>
      <c r="D301" s="3" t="s">
        <v>135</v>
      </c>
      <c r="E301" s="10">
        <f ca="1">TODAY()-2663</f>
        <v>41559</v>
      </c>
      <c r="F301" s="4" t="b">
        <v>1</v>
      </c>
      <c r="G301" s="11">
        <v>239400</v>
      </c>
      <c r="H301" s="12" t="s">
        <v>219</v>
      </c>
    </row>
    <row r="302" spans="1:8" x14ac:dyDescent="0.2">
      <c r="A302" s="9">
        <v>301</v>
      </c>
      <c r="B302" s="3" t="s">
        <v>139</v>
      </c>
      <c r="C302" s="3" t="s">
        <v>176</v>
      </c>
      <c r="D302" s="3" t="s">
        <v>121</v>
      </c>
      <c r="E302" s="10">
        <f ca="1">TODAY()-2659</f>
        <v>41563</v>
      </c>
      <c r="F302" s="4" t="b">
        <v>1</v>
      </c>
      <c r="G302" s="11">
        <v>328900</v>
      </c>
      <c r="H302" s="12" t="s">
        <v>217</v>
      </c>
    </row>
    <row r="303" spans="1:8" x14ac:dyDescent="0.2">
      <c r="A303" s="9">
        <v>302</v>
      </c>
      <c r="B303" s="3" t="s">
        <v>133</v>
      </c>
      <c r="C303" s="3" t="s">
        <v>132</v>
      </c>
      <c r="D303" s="3" t="s">
        <v>121</v>
      </c>
      <c r="E303" s="10">
        <f ca="1">TODAY()-2649</f>
        <v>41573</v>
      </c>
      <c r="F303" s="4" t="b">
        <v>1</v>
      </c>
      <c r="G303" s="11">
        <v>239100</v>
      </c>
      <c r="H303" s="12" t="s">
        <v>217</v>
      </c>
    </row>
    <row r="304" spans="1:8" x14ac:dyDescent="0.2">
      <c r="A304" s="9">
        <v>303</v>
      </c>
      <c r="B304" s="3" t="s">
        <v>120</v>
      </c>
      <c r="C304" s="3" t="s">
        <v>156</v>
      </c>
      <c r="D304" s="3" t="s">
        <v>121</v>
      </c>
      <c r="E304" s="10">
        <f ca="1">TODAY()-2648</f>
        <v>41574</v>
      </c>
      <c r="F304" s="4" t="b">
        <v>1</v>
      </c>
      <c r="G304" s="11">
        <v>254200</v>
      </c>
      <c r="H304" s="12" t="s">
        <v>220</v>
      </c>
    </row>
    <row r="305" spans="1:8" x14ac:dyDescent="0.2">
      <c r="A305" s="9">
        <v>304</v>
      </c>
      <c r="B305" s="3" t="s">
        <v>139</v>
      </c>
      <c r="C305" s="3" t="s">
        <v>194</v>
      </c>
      <c r="D305" s="3" t="s">
        <v>121</v>
      </c>
      <c r="E305" s="10">
        <f ca="1">TODAY()-2642</f>
        <v>41580</v>
      </c>
      <c r="F305" s="4" t="b">
        <v>1</v>
      </c>
      <c r="G305" s="11">
        <v>283500</v>
      </c>
      <c r="H305" s="12" t="s">
        <v>217</v>
      </c>
    </row>
    <row r="306" spans="1:8" x14ac:dyDescent="0.2">
      <c r="A306" s="9">
        <v>305</v>
      </c>
      <c r="B306" s="3" t="s">
        <v>139</v>
      </c>
      <c r="C306" s="3" t="s">
        <v>138</v>
      </c>
      <c r="D306" s="3" t="s">
        <v>135</v>
      </c>
      <c r="E306" s="10">
        <f ca="1">TODAY()-2638</f>
        <v>41584</v>
      </c>
      <c r="F306" s="4" t="b">
        <v>0</v>
      </c>
      <c r="G306" s="11">
        <v>296100</v>
      </c>
      <c r="H306" s="12" t="s">
        <v>220</v>
      </c>
    </row>
    <row r="307" spans="1:8" x14ac:dyDescent="0.2">
      <c r="A307" s="9">
        <v>306</v>
      </c>
      <c r="B307" s="3" t="s">
        <v>163</v>
      </c>
      <c r="C307" s="3" t="s">
        <v>162</v>
      </c>
      <c r="D307" s="3" t="s">
        <v>127</v>
      </c>
      <c r="E307" s="10">
        <f ca="1">TODAY()-2625</f>
        <v>41597</v>
      </c>
      <c r="F307" s="4" t="b">
        <v>0</v>
      </c>
      <c r="G307" s="11">
        <v>288400</v>
      </c>
      <c r="H307" s="12" t="s">
        <v>217</v>
      </c>
    </row>
    <row r="308" spans="1:8" x14ac:dyDescent="0.2">
      <c r="A308" s="9">
        <v>307</v>
      </c>
      <c r="B308" s="3" t="s">
        <v>123</v>
      </c>
      <c r="C308" s="3" t="s">
        <v>189</v>
      </c>
      <c r="D308" s="3" t="s">
        <v>121</v>
      </c>
      <c r="E308" s="10">
        <f ca="1">TODAY()-2623</f>
        <v>41599</v>
      </c>
      <c r="F308" s="4" t="b">
        <v>0</v>
      </c>
      <c r="G308" s="11">
        <v>262800</v>
      </c>
      <c r="H308" s="12" t="s">
        <v>218</v>
      </c>
    </row>
    <row r="309" spans="1:8" x14ac:dyDescent="0.2">
      <c r="A309" s="9">
        <v>308</v>
      </c>
      <c r="B309" s="3" t="s">
        <v>148</v>
      </c>
      <c r="C309" s="3" t="s">
        <v>147</v>
      </c>
      <c r="D309" s="3" t="s">
        <v>121</v>
      </c>
      <c r="E309" s="10">
        <f ca="1">TODAY()-2619</f>
        <v>41603</v>
      </c>
      <c r="F309" s="4" t="b">
        <v>0</v>
      </c>
      <c r="G309" s="11">
        <v>296900</v>
      </c>
      <c r="H309" s="12" t="s">
        <v>218</v>
      </c>
    </row>
    <row r="310" spans="1:8" x14ac:dyDescent="0.2">
      <c r="A310" s="9">
        <v>309</v>
      </c>
      <c r="B310" s="3" t="s">
        <v>150</v>
      </c>
      <c r="C310" s="3" t="s">
        <v>136</v>
      </c>
      <c r="D310" s="3" t="s">
        <v>124</v>
      </c>
      <c r="E310" s="10">
        <f ca="1">TODAY()-2611</f>
        <v>41611</v>
      </c>
      <c r="F310" s="4" t="b">
        <v>0</v>
      </c>
      <c r="G310" s="11">
        <v>254600</v>
      </c>
      <c r="H310" s="12" t="s">
        <v>220</v>
      </c>
    </row>
    <row r="311" spans="1:8" x14ac:dyDescent="0.2">
      <c r="A311" s="9">
        <v>310</v>
      </c>
      <c r="B311" s="3" t="s">
        <v>155</v>
      </c>
      <c r="C311" s="3" t="s">
        <v>186</v>
      </c>
      <c r="D311" s="3" t="s">
        <v>135</v>
      </c>
      <c r="E311" s="10">
        <f ca="1">TODAY()-2614</f>
        <v>41608</v>
      </c>
      <c r="F311" s="4" t="b">
        <v>0</v>
      </c>
      <c r="G311" s="11">
        <v>443200</v>
      </c>
      <c r="H311" s="12" t="s">
        <v>219</v>
      </c>
    </row>
    <row r="312" spans="1:8" x14ac:dyDescent="0.2">
      <c r="A312" s="9">
        <v>311</v>
      </c>
      <c r="B312" s="3" t="s">
        <v>143</v>
      </c>
      <c r="C312" s="3" t="s">
        <v>206</v>
      </c>
      <c r="D312" s="3" t="s">
        <v>135</v>
      </c>
      <c r="E312" s="10">
        <f ca="1">TODAY()-2611</f>
        <v>41611</v>
      </c>
      <c r="F312" s="4" t="b">
        <v>0</v>
      </c>
      <c r="G312" s="11">
        <v>266300</v>
      </c>
      <c r="H312" s="12" t="s">
        <v>219</v>
      </c>
    </row>
    <row r="313" spans="1:8" x14ac:dyDescent="0.2">
      <c r="A313" s="9">
        <v>312</v>
      </c>
      <c r="B313" s="3" t="s">
        <v>146</v>
      </c>
      <c r="C313" s="3" t="s">
        <v>198</v>
      </c>
      <c r="D313" s="3" t="s">
        <v>121</v>
      </c>
      <c r="E313" s="10">
        <f ca="1">TODAY()-2608</f>
        <v>41614</v>
      </c>
      <c r="F313" s="4" t="b">
        <v>0</v>
      </c>
      <c r="G313" s="11">
        <v>331700</v>
      </c>
      <c r="H313" s="12" t="s">
        <v>219</v>
      </c>
    </row>
    <row r="314" spans="1:8" x14ac:dyDescent="0.2">
      <c r="A314" s="9">
        <v>313</v>
      </c>
      <c r="B314" s="3" t="s">
        <v>143</v>
      </c>
      <c r="C314" s="3" t="s">
        <v>166</v>
      </c>
      <c r="D314" s="3" t="s">
        <v>121</v>
      </c>
      <c r="E314" s="10">
        <f ca="1">TODAY()-2605</f>
        <v>41617</v>
      </c>
      <c r="F314" s="4" t="b">
        <v>1</v>
      </c>
      <c r="G314" s="11">
        <v>264300</v>
      </c>
      <c r="H314" s="12" t="s">
        <v>220</v>
      </c>
    </row>
    <row r="315" spans="1:8" x14ac:dyDescent="0.2">
      <c r="A315" s="9">
        <v>314</v>
      </c>
      <c r="B315" s="3" t="s">
        <v>120</v>
      </c>
      <c r="C315" s="3" t="s">
        <v>170</v>
      </c>
      <c r="D315" s="3" t="s">
        <v>121</v>
      </c>
      <c r="E315" s="10">
        <f ca="1">TODAY()-2607</f>
        <v>41615</v>
      </c>
      <c r="F315" s="4" t="b">
        <v>0</v>
      </c>
      <c r="G315" s="13">
        <v>616500</v>
      </c>
      <c r="H315" s="12" t="s">
        <v>220</v>
      </c>
    </row>
    <row r="316" spans="1:8" x14ac:dyDescent="0.2">
      <c r="A316" s="9">
        <v>315</v>
      </c>
      <c r="B316" s="3" t="s">
        <v>150</v>
      </c>
      <c r="C316" s="3" t="s">
        <v>136</v>
      </c>
      <c r="D316" s="3" t="s">
        <v>124</v>
      </c>
      <c r="E316" s="10">
        <f ca="1">TODAY()-2602</f>
        <v>41620</v>
      </c>
      <c r="F316" s="4" t="b">
        <v>0</v>
      </c>
      <c r="G316" s="11">
        <v>844200</v>
      </c>
      <c r="H316" s="12" t="s">
        <v>220</v>
      </c>
    </row>
    <row r="317" spans="1:8" x14ac:dyDescent="0.2">
      <c r="A317" s="9">
        <v>316</v>
      </c>
      <c r="B317" s="3" t="s">
        <v>155</v>
      </c>
      <c r="C317" s="3" t="s">
        <v>164</v>
      </c>
      <c r="D317" s="3" t="s">
        <v>124</v>
      </c>
      <c r="E317" s="10">
        <f ca="1">TODAY()-2598</f>
        <v>41624</v>
      </c>
      <c r="F317" s="4" t="b">
        <v>0</v>
      </c>
      <c r="G317" s="11">
        <v>273700</v>
      </c>
      <c r="H317" s="12" t="s">
        <v>220</v>
      </c>
    </row>
    <row r="318" spans="1:8" x14ac:dyDescent="0.2">
      <c r="A318" s="9">
        <v>317</v>
      </c>
      <c r="B318" s="3" t="s">
        <v>197</v>
      </c>
      <c r="C318" s="3" t="s">
        <v>196</v>
      </c>
      <c r="D318" s="3" t="s">
        <v>124</v>
      </c>
      <c r="E318" s="10">
        <f ca="1">TODAY()-2601</f>
        <v>41621</v>
      </c>
      <c r="F318" s="4" t="b">
        <v>1</v>
      </c>
      <c r="G318" s="11">
        <v>335900</v>
      </c>
      <c r="H318" s="12" t="s">
        <v>219</v>
      </c>
    </row>
    <row r="319" spans="1:8" x14ac:dyDescent="0.2">
      <c r="A319" s="9">
        <v>318</v>
      </c>
      <c r="B319" s="3" t="s">
        <v>158</v>
      </c>
      <c r="C319" s="3" t="s">
        <v>157</v>
      </c>
      <c r="D319" s="3" t="s">
        <v>127</v>
      </c>
      <c r="E319" s="10">
        <f ca="1">TODAY()-2590</f>
        <v>41632</v>
      </c>
      <c r="F319" s="4" t="b">
        <v>0</v>
      </c>
      <c r="G319" s="11">
        <v>246300</v>
      </c>
      <c r="H319" s="12" t="s">
        <v>219</v>
      </c>
    </row>
    <row r="320" spans="1:8" x14ac:dyDescent="0.2">
      <c r="A320" s="9">
        <v>319</v>
      </c>
      <c r="B320" s="3" t="s">
        <v>155</v>
      </c>
      <c r="C320" s="3" t="s">
        <v>193</v>
      </c>
      <c r="D320" s="3" t="s">
        <v>124</v>
      </c>
      <c r="E320" s="10">
        <f ca="1">TODAY()-2594</f>
        <v>41628</v>
      </c>
      <c r="F320" s="4" t="b">
        <v>0</v>
      </c>
      <c r="G320" s="11">
        <v>302400</v>
      </c>
      <c r="H320" s="12" t="s">
        <v>218</v>
      </c>
    </row>
    <row r="321" spans="1:8" x14ac:dyDescent="0.2">
      <c r="A321" s="9">
        <v>320</v>
      </c>
      <c r="B321" s="3" t="s">
        <v>120</v>
      </c>
      <c r="C321" s="3" t="s">
        <v>205</v>
      </c>
      <c r="D321" s="3" t="s">
        <v>131</v>
      </c>
      <c r="E321" s="10">
        <f ca="1">TODAY()-2594</f>
        <v>41628</v>
      </c>
      <c r="F321" s="4" t="b">
        <v>1</v>
      </c>
      <c r="G321" s="11">
        <v>498700</v>
      </c>
      <c r="H321" s="12" t="s">
        <v>219</v>
      </c>
    </row>
    <row r="322" spans="1:8" x14ac:dyDescent="0.2">
      <c r="A322" s="9">
        <v>321</v>
      </c>
      <c r="B322" s="3" t="s">
        <v>163</v>
      </c>
      <c r="C322" s="3" t="s">
        <v>162</v>
      </c>
      <c r="D322" s="3" t="s">
        <v>127</v>
      </c>
      <c r="E322" s="10">
        <f ca="1">TODAY()-2588</f>
        <v>41634</v>
      </c>
      <c r="F322" s="4" t="b">
        <v>1</v>
      </c>
      <c r="G322" s="11">
        <v>279900</v>
      </c>
      <c r="H322" s="12" t="s">
        <v>217</v>
      </c>
    </row>
    <row r="323" spans="1:8" x14ac:dyDescent="0.2">
      <c r="A323" s="9">
        <v>322</v>
      </c>
      <c r="B323" s="3" t="s">
        <v>133</v>
      </c>
      <c r="C323" s="3" t="s">
        <v>153</v>
      </c>
      <c r="D323" s="3" t="s">
        <v>135</v>
      </c>
      <c r="E323" s="10">
        <f ca="1">TODAY()-2588</f>
        <v>41634</v>
      </c>
      <c r="F323" s="4" t="b">
        <v>0</v>
      </c>
      <c r="G323" s="11">
        <v>238200</v>
      </c>
      <c r="H323" s="12" t="s">
        <v>218</v>
      </c>
    </row>
    <row r="324" spans="1:8" x14ac:dyDescent="0.2">
      <c r="A324" s="9">
        <v>323</v>
      </c>
      <c r="B324" s="3" t="s">
        <v>139</v>
      </c>
      <c r="C324" s="3" t="s">
        <v>141</v>
      </c>
      <c r="D324" s="3" t="s">
        <v>124</v>
      </c>
      <c r="E324" s="10">
        <f ca="1">TODAY()-2584</f>
        <v>41638</v>
      </c>
      <c r="F324" s="4" t="b">
        <v>0</v>
      </c>
      <c r="G324" s="11">
        <v>443300</v>
      </c>
      <c r="H324" s="12" t="s">
        <v>220</v>
      </c>
    </row>
    <row r="325" spans="1:8" x14ac:dyDescent="0.2">
      <c r="A325" s="9">
        <v>324</v>
      </c>
      <c r="B325" s="3" t="s">
        <v>139</v>
      </c>
      <c r="C325" s="3" t="s">
        <v>192</v>
      </c>
      <c r="D325" s="3" t="s">
        <v>121</v>
      </c>
      <c r="E325" s="10">
        <f ca="1">TODAY()-2572</f>
        <v>41650</v>
      </c>
      <c r="F325" s="4" t="b">
        <v>1</v>
      </c>
      <c r="G325" s="11">
        <v>372600</v>
      </c>
      <c r="H325" s="12" t="s">
        <v>219</v>
      </c>
    </row>
    <row r="326" spans="1:8" x14ac:dyDescent="0.2">
      <c r="A326" s="9">
        <v>325</v>
      </c>
      <c r="B326" s="3" t="s">
        <v>137</v>
      </c>
      <c r="C326" s="3" t="s">
        <v>151</v>
      </c>
      <c r="D326" s="3" t="s">
        <v>135</v>
      </c>
      <c r="E326" s="10">
        <f ca="1">TODAY()-2570</f>
        <v>41652</v>
      </c>
      <c r="F326" s="4" t="b">
        <v>1</v>
      </c>
      <c r="G326" s="11">
        <v>255200</v>
      </c>
      <c r="H326" s="12" t="s">
        <v>219</v>
      </c>
    </row>
    <row r="327" spans="1:8" x14ac:dyDescent="0.2">
      <c r="A327" s="9">
        <v>326</v>
      </c>
      <c r="B327" s="3" t="s">
        <v>150</v>
      </c>
      <c r="C327" s="3" t="s">
        <v>152</v>
      </c>
      <c r="D327" s="3" t="s">
        <v>135</v>
      </c>
      <c r="E327" s="10">
        <f ca="1">TODAY()-2568</f>
        <v>41654</v>
      </c>
      <c r="F327" s="4" t="b">
        <v>1</v>
      </c>
      <c r="G327" s="13">
        <v>610000</v>
      </c>
      <c r="H327" s="12" t="s">
        <v>219</v>
      </c>
    </row>
    <row r="328" spans="1:8" x14ac:dyDescent="0.2">
      <c r="A328" s="9">
        <v>327</v>
      </c>
      <c r="B328" s="3" t="s">
        <v>155</v>
      </c>
      <c r="C328" s="3" t="s">
        <v>186</v>
      </c>
      <c r="D328" s="3" t="s">
        <v>135</v>
      </c>
      <c r="E328" s="10">
        <f ca="1">TODAY()-2567</f>
        <v>41655</v>
      </c>
      <c r="F328" s="4" t="b">
        <v>1</v>
      </c>
      <c r="G328" s="11">
        <v>271000</v>
      </c>
      <c r="H328" s="12" t="s">
        <v>219</v>
      </c>
    </row>
    <row r="329" spans="1:8" x14ac:dyDescent="0.2">
      <c r="A329" s="9">
        <v>328</v>
      </c>
      <c r="B329" s="3" t="s">
        <v>123</v>
      </c>
      <c r="C329" s="3" t="s">
        <v>122</v>
      </c>
      <c r="D329" s="3" t="s">
        <v>124</v>
      </c>
      <c r="E329" s="10">
        <f ca="1">TODAY()-2572</f>
        <v>41650</v>
      </c>
      <c r="F329" s="4" t="b">
        <v>0</v>
      </c>
      <c r="G329" s="11">
        <v>450400</v>
      </c>
      <c r="H329" s="12" t="s">
        <v>218</v>
      </c>
    </row>
    <row r="330" spans="1:8" x14ac:dyDescent="0.2">
      <c r="A330" s="9">
        <v>329</v>
      </c>
      <c r="B330" s="3" t="s">
        <v>133</v>
      </c>
      <c r="C330" s="3" t="s">
        <v>132</v>
      </c>
      <c r="D330" s="3" t="s">
        <v>121</v>
      </c>
      <c r="E330" s="10">
        <f ca="1">TODAY()-2570</f>
        <v>41652</v>
      </c>
      <c r="F330" s="4" t="b">
        <v>0</v>
      </c>
      <c r="G330" s="11">
        <v>303100</v>
      </c>
      <c r="H330" s="12" t="s">
        <v>217</v>
      </c>
    </row>
    <row r="331" spans="1:8" x14ac:dyDescent="0.2">
      <c r="A331" s="9">
        <v>330</v>
      </c>
      <c r="B331" s="3" t="s">
        <v>133</v>
      </c>
      <c r="C331" s="3" t="s">
        <v>153</v>
      </c>
      <c r="D331" s="3" t="s">
        <v>135</v>
      </c>
      <c r="E331" s="10">
        <f ca="1">TODAY()-2565</f>
        <v>41657</v>
      </c>
      <c r="F331" s="4" t="b">
        <v>1</v>
      </c>
      <c r="G331" s="11">
        <v>289500</v>
      </c>
      <c r="H331" s="12" t="s">
        <v>218</v>
      </c>
    </row>
    <row r="332" spans="1:8" x14ac:dyDescent="0.2">
      <c r="A332" s="9">
        <v>331</v>
      </c>
      <c r="B332" s="3" t="s">
        <v>150</v>
      </c>
      <c r="C332" s="3" t="s">
        <v>152</v>
      </c>
      <c r="D332" s="3" t="s">
        <v>135</v>
      </c>
      <c r="E332" s="10">
        <f ca="1">TODAY()-2555</f>
        <v>41667</v>
      </c>
      <c r="F332" s="4" t="b">
        <v>1</v>
      </c>
      <c r="G332" s="11">
        <v>292400</v>
      </c>
      <c r="H332" s="12" t="s">
        <v>219</v>
      </c>
    </row>
    <row r="333" spans="1:8" x14ac:dyDescent="0.2">
      <c r="A333" s="9">
        <v>332</v>
      </c>
      <c r="B333" s="3" t="s">
        <v>150</v>
      </c>
      <c r="C333" s="3" t="s">
        <v>136</v>
      </c>
      <c r="D333" s="3" t="s">
        <v>124</v>
      </c>
      <c r="E333" s="10">
        <f ca="1">TODAY()-2558</f>
        <v>41664</v>
      </c>
      <c r="F333" s="4" t="b">
        <v>0</v>
      </c>
      <c r="G333" s="11">
        <v>944100</v>
      </c>
      <c r="H333" s="12" t="s">
        <v>220</v>
      </c>
    </row>
    <row r="334" spans="1:8" x14ac:dyDescent="0.2">
      <c r="A334" s="9">
        <v>333</v>
      </c>
      <c r="B334" s="3" t="s">
        <v>155</v>
      </c>
      <c r="C334" s="3" t="s">
        <v>209</v>
      </c>
      <c r="D334" s="3" t="s">
        <v>121</v>
      </c>
      <c r="E334" s="10">
        <f ca="1">TODAY()-2558</f>
        <v>41664</v>
      </c>
      <c r="F334" s="4" t="b">
        <v>1</v>
      </c>
      <c r="G334" s="11">
        <v>277600</v>
      </c>
      <c r="H334" s="12" t="s">
        <v>219</v>
      </c>
    </row>
    <row r="335" spans="1:8" x14ac:dyDescent="0.2">
      <c r="A335" s="9">
        <v>334</v>
      </c>
      <c r="B335" s="3" t="s">
        <v>129</v>
      </c>
      <c r="C335" s="3" t="s">
        <v>140</v>
      </c>
      <c r="D335" s="3" t="s">
        <v>135</v>
      </c>
      <c r="E335" s="10">
        <f ca="1">TODAY()-2555</f>
        <v>41667</v>
      </c>
      <c r="F335" s="4" t="b">
        <v>1</v>
      </c>
      <c r="G335" s="11">
        <v>275600</v>
      </c>
      <c r="H335" s="12" t="s">
        <v>218</v>
      </c>
    </row>
    <row r="336" spans="1:8" x14ac:dyDescent="0.2">
      <c r="A336" s="9">
        <v>335</v>
      </c>
      <c r="B336" s="3" t="s">
        <v>137</v>
      </c>
      <c r="C336" s="3" t="s">
        <v>151</v>
      </c>
      <c r="D336" s="3" t="s">
        <v>135</v>
      </c>
      <c r="E336" s="10">
        <f ca="1">TODAY()-2556</f>
        <v>41666</v>
      </c>
      <c r="F336" s="4" t="b">
        <v>0</v>
      </c>
      <c r="G336" s="11">
        <v>281000</v>
      </c>
      <c r="H336" s="12" t="s">
        <v>219</v>
      </c>
    </row>
    <row r="337" spans="1:8" x14ac:dyDescent="0.2">
      <c r="A337" s="9">
        <v>336</v>
      </c>
      <c r="B337" s="3" t="s">
        <v>143</v>
      </c>
      <c r="C337" s="3" t="s">
        <v>203</v>
      </c>
      <c r="D337" s="3" t="s">
        <v>124</v>
      </c>
      <c r="E337" s="10">
        <f ca="1">TODAY()-2550</f>
        <v>41672</v>
      </c>
      <c r="F337" s="4" t="b">
        <v>0</v>
      </c>
      <c r="G337" s="11">
        <v>291600</v>
      </c>
      <c r="H337" s="12" t="s">
        <v>219</v>
      </c>
    </row>
    <row r="338" spans="1:8" x14ac:dyDescent="0.2">
      <c r="A338" s="9">
        <v>337</v>
      </c>
      <c r="B338" s="3" t="s">
        <v>146</v>
      </c>
      <c r="C338" s="3" t="s">
        <v>177</v>
      </c>
      <c r="D338" s="3" t="s">
        <v>124</v>
      </c>
      <c r="E338" s="10">
        <f ca="1">TODAY()-2551</f>
        <v>41671</v>
      </c>
      <c r="F338" s="4" t="b">
        <v>0</v>
      </c>
      <c r="G338" s="11">
        <v>905900</v>
      </c>
      <c r="H338" s="12" t="s">
        <v>217</v>
      </c>
    </row>
    <row r="339" spans="1:8" x14ac:dyDescent="0.2">
      <c r="A339" s="9">
        <v>338</v>
      </c>
      <c r="B339" s="3" t="s">
        <v>148</v>
      </c>
      <c r="C339" s="3" t="s">
        <v>172</v>
      </c>
      <c r="D339" s="3" t="s">
        <v>121</v>
      </c>
      <c r="E339" s="10">
        <f ca="1">TODAY()-2553</f>
        <v>41669</v>
      </c>
      <c r="F339" s="4" t="b">
        <v>0</v>
      </c>
      <c r="G339" s="11">
        <v>272700</v>
      </c>
      <c r="H339" s="12" t="s">
        <v>218</v>
      </c>
    </row>
    <row r="340" spans="1:8" x14ac:dyDescent="0.2">
      <c r="A340" s="9">
        <v>339</v>
      </c>
      <c r="B340" s="3" t="s">
        <v>123</v>
      </c>
      <c r="C340" s="3" t="s">
        <v>122</v>
      </c>
      <c r="D340" s="3" t="s">
        <v>124</v>
      </c>
      <c r="E340" s="10">
        <f ca="1">TODAY()-2545</f>
        <v>41677</v>
      </c>
      <c r="F340" s="4" t="b">
        <v>1</v>
      </c>
      <c r="G340" s="11">
        <v>255500</v>
      </c>
      <c r="H340" s="12" t="s">
        <v>218</v>
      </c>
    </row>
    <row r="341" spans="1:8" x14ac:dyDescent="0.2">
      <c r="A341" s="9">
        <v>340</v>
      </c>
      <c r="B341" s="3" t="s">
        <v>150</v>
      </c>
      <c r="C341" s="3" t="s">
        <v>178</v>
      </c>
      <c r="D341" s="3" t="s">
        <v>121</v>
      </c>
      <c r="E341" s="10">
        <f ca="1">TODAY()-2547</f>
        <v>41675</v>
      </c>
      <c r="F341" s="4" t="b">
        <v>1</v>
      </c>
      <c r="G341" s="11">
        <v>494700</v>
      </c>
      <c r="H341" s="12" t="s">
        <v>219</v>
      </c>
    </row>
    <row r="342" spans="1:8" x14ac:dyDescent="0.2">
      <c r="A342" s="9">
        <v>341</v>
      </c>
      <c r="B342" s="3" t="s">
        <v>155</v>
      </c>
      <c r="C342" s="3" t="s">
        <v>193</v>
      </c>
      <c r="D342" s="3" t="s">
        <v>124</v>
      </c>
      <c r="E342" s="10">
        <f ca="1">TODAY()-2531</f>
        <v>41691</v>
      </c>
      <c r="F342" s="4" t="b">
        <v>0</v>
      </c>
      <c r="G342" s="11">
        <v>254000</v>
      </c>
      <c r="H342" s="12" t="s">
        <v>218</v>
      </c>
    </row>
    <row r="343" spans="1:8" x14ac:dyDescent="0.2">
      <c r="A343" s="9">
        <v>342</v>
      </c>
      <c r="B343" s="3" t="s">
        <v>120</v>
      </c>
      <c r="C343" s="3" t="s">
        <v>170</v>
      </c>
      <c r="D343" s="3" t="s">
        <v>121</v>
      </c>
      <c r="E343" s="10">
        <f ca="1">TODAY()-2531</f>
        <v>41691</v>
      </c>
      <c r="F343" s="4" t="b">
        <v>0</v>
      </c>
      <c r="G343" s="11">
        <v>1041400</v>
      </c>
      <c r="H343" s="12" t="s">
        <v>220</v>
      </c>
    </row>
    <row r="344" spans="1:8" x14ac:dyDescent="0.2">
      <c r="A344" s="9">
        <v>343</v>
      </c>
      <c r="B344" s="3" t="s">
        <v>139</v>
      </c>
      <c r="C344" s="3" t="s">
        <v>194</v>
      </c>
      <c r="D344" s="3" t="s">
        <v>121</v>
      </c>
      <c r="E344" s="10">
        <f ca="1">TODAY()-2522</f>
        <v>41700</v>
      </c>
      <c r="F344" s="4" t="b">
        <v>0</v>
      </c>
      <c r="G344" s="11">
        <v>262000</v>
      </c>
      <c r="H344" s="12" t="s">
        <v>217</v>
      </c>
    </row>
    <row r="345" spans="1:8" x14ac:dyDescent="0.2">
      <c r="A345" s="9">
        <v>344</v>
      </c>
      <c r="B345" s="3" t="s">
        <v>143</v>
      </c>
      <c r="C345" s="3" t="s">
        <v>203</v>
      </c>
      <c r="D345" s="3" t="s">
        <v>124</v>
      </c>
      <c r="E345" s="10">
        <f ca="1">TODAY()-2523</f>
        <v>41699</v>
      </c>
      <c r="F345" s="4" t="b">
        <v>0</v>
      </c>
      <c r="G345" s="11">
        <v>241100</v>
      </c>
      <c r="H345" s="12" t="s">
        <v>219</v>
      </c>
    </row>
    <row r="346" spans="1:8" x14ac:dyDescent="0.2">
      <c r="A346" s="9">
        <v>345</v>
      </c>
      <c r="B346" s="3" t="s">
        <v>129</v>
      </c>
      <c r="C346" s="3" t="s">
        <v>140</v>
      </c>
      <c r="D346" s="3" t="s">
        <v>135</v>
      </c>
      <c r="E346" s="10">
        <f ca="1">TODAY()-2524</f>
        <v>41698</v>
      </c>
      <c r="F346" s="4" t="b">
        <v>0</v>
      </c>
      <c r="G346" s="11">
        <v>258400</v>
      </c>
      <c r="H346" s="12" t="s">
        <v>218</v>
      </c>
    </row>
    <row r="347" spans="1:8" x14ac:dyDescent="0.2">
      <c r="A347" s="9">
        <v>346</v>
      </c>
      <c r="B347" s="3" t="s">
        <v>123</v>
      </c>
      <c r="C347" s="3" t="s">
        <v>189</v>
      </c>
      <c r="D347" s="3" t="s">
        <v>121</v>
      </c>
      <c r="E347" s="10">
        <f ca="1">TODAY()-2519</f>
        <v>41703</v>
      </c>
      <c r="F347" s="4" t="b">
        <v>0</v>
      </c>
      <c r="G347" s="11">
        <v>243800</v>
      </c>
      <c r="H347" s="12" t="s">
        <v>218</v>
      </c>
    </row>
    <row r="348" spans="1:8" x14ac:dyDescent="0.2">
      <c r="A348" s="9">
        <v>347</v>
      </c>
      <c r="B348" s="3" t="s">
        <v>120</v>
      </c>
      <c r="C348" s="3" t="s">
        <v>170</v>
      </c>
      <c r="D348" s="3" t="s">
        <v>121</v>
      </c>
      <c r="E348" s="10">
        <f ca="1">TODAY()-2510</f>
        <v>41712</v>
      </c>
      <c r="F348" s="4" t="b">
        <v>1</v>
      </c>
      <c r="G348" s="11">
        <v>298000</v>
      </c>
      <c r="H348" s="12" t="s">
        <v>220</v>
      </c>
    </row>
    <row r="349" spans="1:8" x14ac:dyDescent="0.2">
      <c r="A349" s="9">
        <v>348</v>
      </c>
      <c r="B349" s="3" t="s">
        <v>143</v>
      </c>
      <c r="C349" s="3" t="s">
        <v>181</v>
      </c>
      <c r="D349" s="3" t="s">
        <v>121</v>
      </c>
      <c r="E349" s="10">
        <f ca="1">TODAY()-2507</f>
        <v>41715</v>
      </c>
      <c r="F349" s="4" t="b">
        <v>0</v>
      </c>
      <c r="G349" s="11">
        <v>300500</v>
      </c>
      <c r="H349" s="12" t="s">
        <v>218</v>
      </c>
    </row>
    <row r="350" spans="1:8" x14ac:dyDescent="0.2">
      <c r="A350" s="9">
        <v>349</v>
      </c>
      <c r="B350" s="3" t="s">
        <v>129</v>
      </c>
      <c r="C350" s="3" t="s">
        <v>130</v>
      </c>
      <c r="D350" s="3" t="s">
        <v>131</v>
      </c>
      <c r="E350" s="10">
        <f ca="1">TODAY()-2512</f>
        <v>41710</v>
      </c>
      <c r="F350" s="4" t="b">
        <v>0</v>
      </c>
      <c r="G350" s="11">
        <v>342400</v>
      </c>
      <c r="H350" s="12" t="s">
        <v>218</v>
      </c>
    </row>
    <row r="351" spans="1:8" x14ac:dyDescent="0.2">
      <c r="A351" s="9">
        <v>350</v>
      </c>
      <c r="B351" s="3" t="s">
        <v>139</v>
      </c>
      <c r="C351" s="3" t="s">
        <v>176</v>
      </c>
      <c r="D351" s="3" t="s">
        <v>121</v>
      </c>
      <c r="E351" s="10">
        <f ca="1">TODAY()-2502</f>
        <v>41720</v>
      </c>
      <c r="F351" s="4" t="b">
        <v>1</v>
      </c>
      <c r="G351" s="11">
        <v>245200</v>
      </c>
      <c r="H351" s="12" t="s">
        <v>217</v>
      </c>
    </row>
    <row r="352" spans="1:8" x14ac:dyDescent="0.2">
      <c r="A352" s="9">
        <v>351</v>
      </c>
      <c r="B352" s="3" t="s">
        <v>120</v>
      </c>
      <c r="C352" s="3" t="s">
        <v>165</v>
      </c>
      <c r="D352" s="3" t="s">
        <v>131</v>
      </c>
      <c r="E352" s="10">
        <f ca="1">TODAY()-2494</f>
        <v>41728</v>
      </c>
      <c r="F352" s="4" t="b">
        <v>0</v>
      </c>
      <c r="G352" s="11">
        <v>263900</v>
      </c>
      <c r="H352" s="12" t="s">
        <v>217</v>
      </c>
    </row>
    <row r="353" spans="1:8" x14ac:dyDescent="0.2">
      <c r="A353" s="9">
        <v>352</v>
      </c>
      <c r="B353" s="3" t="s">
        <v>143</v>
      </c>
      <c r="C353" s="3" t="s">
        <v>203</v>
      </c>
      <c r="D353" s="3" t="s">
        <v>124</v>
      </c>
      <c r="E353" s="10">
        <f ca="1">TODAY()-2494</f>
        <v>41728</v>
      </c>
      <c r="F353" s="4" t="b">
        <v>0</v>
      </c>
      <c r="G353" s="11">
        <v>284900</v>
      </c>
      <c r="H353" s="12" t="s">
        <v>219</v>
      </c>
    </row>
    <row r="354" spans="1:8" x14ac:dyDescent="0.2">
      <c r="A354" s="9">
        <v>353</v>
      </c>
      <c r="B354" s="3" t="s">
        <v>143</v>
      </c>
      <c r="C354" s="3" t="s">
        <v>166</v>
      </c>
      <c r="D354" s="3" t="s">
        <v>121</v>
      </c>
      <c r="E354" s="10">
        <f ca="1">TODAY()-2499</f>
        <v>41723</v>
      </c>
      <c r="F354" s="4" t="b">
        <v>0</v>
      </c>
      <c r="G354" s="11">
        <v>280700</v>
      </c>
      <c r="H354" s="12" t="s">
        <v>220</v>
      </c>
    </row>
    <row r="355" spans="1:8" x14ac:dyDescent="0.2">
      <c r="A355" s="9">
        <v>354</v>
      </c>
      <c r="B355" s="3" t="s">
        <v>123</v>
      </c>
      <c r="C355" s="3" t="s">
        <v>189</v>
      </c>
      <c r="D355" s="3" t="s">
        <v>121</v>
      </c>
      <c r="E355" s="10">
        <f ca="1">TODAY()-2487</f>
        <v>41735</v>
      </c>
      <c r="F355" s="4" t="b">
        <v>0</v>
      </c>
      <c r="G355" s="11">
        <v>264100</v>
      </c>
      <c r="H355" s="12" t="s">
        <v>218</v>
      </c>
    </row>
    <row r="356" spans="1:8" x14ac:dyDescent="0.2">
      <c r="A356" s="9">
        <v>355</v>
      </c>
      <c r="B356" s="3" t="s">
        <v>148</v>
      </c>
      <c r="C356" s="3" t="s">
        <v>147</v>
      </c>
      <c r="D356" s="3" t="s">
        <v>121</v>
      </c>
      <c r="E356" s="10">
        <f ca="1">TODAY()-2489</f>
        <v>41733</v>
      </c>
      <c r="F356" s="4" t="b">
        <v>0</v>
      </c>
      <c r="G356" s="11">
        <v>263100</v>
      </c>
      <c r="H356" s="12" t="s">
        <v>218</v>
      </c>
    </row>
    <row r="357" spans="1:8" x14ac:dyDescent="0.2">
      <c r="A357" s="9">
        <v>356</v>
      </c>
      <c r="B357" s="3" t="s">
        <v>150</v>
      </c>
      <c r="C357" s="3" t="s">
        <v>149</v>
      </c>
      <c r="D357" s="3" t="s">
        <v>124</v>
      </c>
      <c r="E357" s="10">
        <f ca="1">TODAY()-2481</f>
        <v>41741</v>
      </c>
      <c r="F357" s="4" t="b">
        <v>0</v>
      </c>
      <c r="G357" s="11">
        <v>273700</v>
      </c>
      <c r="H357" s="12" t="s">
        <v>217</v>
      </c>
    </row>
    <row r="358" spans="1:8" x14ac:dyDescent="0.2">
      <c r="A358" s="9">
        <v>357</v>
      </c>
      <c r="B358" s="3" t="s">
        <v>173</v>
      </c>
      <c r="C358" s="3" t="s">
        <v>200</v>
      </c>
      <c r="D358" s="3" t="s">
        <v>135</v>
      </c>
      <c r="E358" s="10">
        <f ca="1">TODAY()-2473</f>
        <v>41749</v>
      </c>
      <c r="F358" s="4" t="b">
        <v>1</v>
      </c>
      <c r="G358" s="11">
        <v>313600</v>
      </c>
      <c r="H358" s="12" t="s">
        <v>219</v>
      </c>
    </row>
    <row r="359" spans="1:8" x14ac:dyDescent="0.2">
      <c r="A359" s="9">
        <v>358</v>
      </c>
      <c r="B359" s="3" t="s">
        <v>133</v>
      </c>
      <c r="C359" s="3" t="s">
        <v>153</v>
      </c>
      <c r="D359" s="3" t="s">
        <v>135</v>
      </c>
      <c r="E359" s="10">
        <f ca="1">TODAY()-2466</f>
        <v>41756</v>
      </c>
      <c r="F359" s="4" t="b">
        <v>0</v>
      </c>
      <c r="G359" s="11">
        <v>238600</v>
      </c>
      <c r="H359" s="12" t="s">
        <v>218</v>
      </c>
    </row>
    <row r="360" spans="1:8" x14ac:dyDescent="0.2">
      <c r="A360" s="9">
        <v>359</v>
      </c>
      <c r="B360" s="3" t="s">
        <v>146</v>
      </c>
      <c r="C360" s="3" t="s">
        <v>182</v>
      </c>
      <c r="D360" s="3" t="s">
        <v>121</v>
      </c>
      <c r="E360" s="10">
        <f ca="1">TODAY()-2461</f>
        <v>41761</v>
      </c>
      <c r="F360" s="4" t="b">
        <v>1</v>
      </c>
      <c r="G360" s="11">
        <v>831100</v>
      </c>
      <c r="H360" s="12" t="s">
        <v>218</v>
      </c>
    </row>
    <row r="361" spans="1:8" x14ac:dyDescent="0.2">
      <c r="A361" s="9">
        <v>360</v>
      </c>
      <c r="B361" s="3" t="s">
        <v>191</v>
      </c>
      <c r="C361" s="3" t="s">
        <v>204</v>
      </c>
      <c r="D361" s="3" t="s">
        <v>135</v>
      </c>
      <c r="E361" s="10">
        <f ca="1">TODAY()-2458</f>
        <v>41764</v>
      </c>
      <c r="F361" s="4" t="b">
        <v>0</v>
      </c>
      <c r="G361" s="11">
        <v>1023700</v>
      </c>
      <c r="H361" s="12" t="s">
        <v>220</v>
      </c>
    </row>
    <row r="362" spans="1:8" x14ac:dyDescent="0.2">
      <c r="A362" s="9">
        <v>361</v>
      </c>
      <c r="B362" s="3" t="s">
        <v>139</v>
      </c>
      <c r="C362" s="3" t="s">
        <v>194</v>
      </c>
      <c r="D362" s="3" t="s">
        <v>121</v>
      </c>
      <c r="E362" s="10">
        <f ca="1">TODAY()-2461</f>
        <v>41761</v>
      </c>
      <c r="F362" s="4" t="b">
        <v>0</v>
      </c>
      <c r="G362" s="11">
        <v>236800</v>
      </c>
      <c r="H362" s="12" t="s">
        <v>217</v>
      </c>
    </row>
    <row r="363" spans="1:8" x14ac:dyDescent="0.2">
      <c r="A363" s="9">
        <v>362</v>
      </c>
      <c r="B363" s="3" t="s">
        <v>143</v>
      </c>
      <c r="C363" s="3" t="s">
        <v>206</v>
      </c>
      <c r="D363" s="3" t="s">
        <v>135</v>
      </c>
      <c r="E363" s="10">
        <f ca="1">TODAY()-2462</f>
        <v>41760</v>
      </c>
      <c r="F363" s="4" t="b">
        <v>0</v>
      </c>
      <c r="G363" s="11">
        <v>498500</v>
      </c>
      <c r="H363" s="12" t="s">
        <v>219</v>
      </c>
    </row>
    <row r="364" spans="1:8" x14ac:dyDescent="0.2">
      <c r="A364" s="9">
        <v>363</v>
      </c>
      <c r="B364" s="3" t="s">
        <v>139</v>
      </c>
      <c r="C364" s="3" t="s">
        <v>194</v>
      </c>
      <c r="D364" s="3" t="s">
        <v>121</v>
      </c>
      <c r="E364" s="10">
        <f ca="1">TODAY()-2458</f>
        <v>41764</v>
      </c>
      <c r="F364" s="4" t="b">
        <v>1</v>
      </c>
      <c r="G364" s="11">
        <v>477700</v>
      </c>
      <c r="H364" s="12" t="s">
        <v>217</v>
      </c>
    </row>
    <row r="365" spans="1:8" x14ac:dyDescent="0.2">
      <c r="A365" s="9">
        <v>364</v>
      </c>
      <c r="B365" s="3" t="s">
        <v>129</v>
      </c>
      <c r="C365" s="3" t="s">
        <v>159</v>
      </c>
      <c r="D365" s="3" t="s">
        <v>121</v>
      </c>
      <c r="E365" s="10">
        <f ca="1">TODAY()-2461</f>
        <v>41761</v>
      </c>
      <c r="F365" s="4" t="b">
        <v>1</v>
      </c>
      <c r="G365" s="11">
        <v>356400</v>
      </c>
      <c r="H365" s="12" t="s">
        <v>219</v>
      </c>
    </row>
    <row r="366" spans="1:8" x14ac:dyDescent="0.2">
      <c r="A366" s="9">
        <v>365</v>
      </c>
      <c r="B366" s="3" t="s">
        <v>123</v>
      </c>
      <c r="C366" s="3" t="s">
        <v>189</v>
      </c>
      <c r="D366" s="3" t="s">
        <v>121</v>
      </c>
      <c r="E366" s="10">
        <f ca="1">TODAY()-2442</f>
        <v>41780</v>
      </c>
      <c r="F366" s="4" t="b">
        <v>0</v>
      </c>
      <c r="G366" s="11">
        <v>285300</v>
      </c>
      <c r="H366" s="12" t="s">
        <v>218</v>
      </c>
    </row>
    <row r="367" spans="1:8" x14ac:dyDescent="0.2">
      <c r="A367" s="9">
        <v>366</v>
      </c>
      <c r="B367" s="3" t="s">
        <v>129</v>
      </c>
      <c r="C367" s="3" t="s">
        <v>134</v>
      </c>
      <c r="D367" s="3" t="s">
        <v>135</v>
      </c>
      <c r="E367" s="10">
        <f ca="1">TODAY()-2438</f>
        <v>41784</v>
      </c>
      <c r="F367" s="4" t="b">
        <v>0</v>
      </c>
      <c r="G367" s="11">
        <v>304600</v>
      </c>
      <c r="H367" s="12" t="s">
        <v>220</v>
      </c>
    </row>
    <row r="368" spans="1:8" x14ac:dyDescent="0.2">
      <c r="A368" s="9">
        <v>367</v>
      </c>
      <c r="B368" s="3" t="s">
        <v>150</v>
      </c>
      <c r="C368" s="3" t="s">
        <v>149</v>
      </c>
      <c r="D368" s="3" t="s">
        <v>124</v>
      </c>
      <c r="E368" s="10">
        <f ca="1">TODAY()-2445</f>
        <v>41777</v>
      </c>
      <c r="F368" s="4" t="b">
        <v>0</v>
      </c>
      <c r="G368" s="11">
        <v>254300</v>
      </c>
      <c r="H368" s="12" t="s">
        <v>217</v>
      </c>
    </row>
    <row r="369" spans="1:8" x14ac:dyDescent="0.2">
      <c r="A369" s="9">
        <v>368</v>
      </c>
      <c r="B369" s="3" t="s">
        <v>139</v>
      </c>
      <c r="C369" s="3" t="s">
        <v>141</v>
      </c>
      <c r="D369" s="3" t="s">
        <v>124</v>
      </c>
      <c r="E369" s="10">
        <f ca="1">TODAY()-2441</f>
        <v>41781</v>
      </c>
      <c r="F369" s="4" t="b">
        <v>0</v>
      </c>
      <c r="G369" s="11">
        <v>377900</v>
      </c>
      <c r="H369" s="12" t="s">
        <v>220</v>
      </c>
    </row>
    <row r="370" spans="1:8" x14ac:dyDescent="0.2">
      <c r="A370" s="9">
        <v>369</v>
      </c>
      <c r="B370" s="3" t="s">
        <v>129</v>
      </c>
      <c r="C370" s="3" t="s">
        <v>140</v>
      </c>
      <c r="D370" s="3" t="s">
        <v>135</v>
      </c>
      <c r="E370" s="10">
        <f ca="1">TODAY()-2441</f>
        <v>41781</v>
      </c>
      <c r="F370" s="4" t="b">
        <v>1</v>
      </c>
      <c r="G370" s="11">
        <v>472200</v>
      </c>
      <c r="H370" s="12" t="s">
        <v>218</v>
      </c>
    </row>
    <row r="371" spans="1:8" x14ac:dyDescent="0.2">
      <c r="A371" s="9">
        <v>370</v>
      </c>
      <c r="B371" s="3" t="s">
        <v>150</v>
      </c>
      <c r="C371" s="3" t="s">
        <v>178</v>
      </c>
      <c r="D371" s="3" t="s">
        <v>121</v>
      </c>
      <c r="E371" s="10">
        <f ca="1">TODAY()-2429</f>
        <v>41793</v>
      </c>
      <c r="F371" s="4" t="b">
        <v>0</v>
      </c>
      <c r="G371" s="11">
        <v>292400</v>
      </c>
      <c r="H371" s="12" t="s">
        <v>219</v>
      </c>
    </row>
    <row r="372" spans="1:8" x14ac:dyDescent="0.2">
      <c r="A372" s="9">
        <v>371</v>
      </c>
      <c r="B372" s="3" t="s">
        <v>120</v>
      </c>
      <c r="C372" s="3" t="s">
        <v>156</v>
      </c>
      <c r="D372" s="3" t="s">
        <v>121</v>
      </c>
      <c r="E372" s="10">
        <f ca="1">TODAY()-2415</f>
        <v>41807</v>
      </c>
      <c r="F372" s="4" t="b">
        <v>0</v>
      </c>
      <c r="G372" s="11">
        <v>244900</v>
      </c>
      <c r="H372" s="12" t="s">
        <v>220</v>
      </c>
    </row>
    <row r="373" spans="1:8" x14ac:dyDescent="0.2">
      <c r="A373" s="9">
        <v>372</v>
      </c>
      <c r="B373" s="3" t="s">
        <v>123</v>
      </c>
      <c r="C373" s="3" t="s">
        <v>144</v>
      </c>
      <c r="D373" s="3" t="s">
        <v>121</v>
      </c>
      <c r="E373" s="10">
        <f ca="1">TODAY()-2402</f>
        <v>41820</v>
      </c>
      <c r="F373" s="4" t="b">
        <v>0</v>
      </c>
      <c r="G373" s="11">
        <v>280800</v>
      </c>
      <c r="H373" s="12" t="s">
        <v>219</v>
      </c>
    </row>
    <row r="374" spans="1:8" x14ac:dyDescent="0.2">
      <c r="A374" s="9">
        <v>373</v>
      </c>
      <c r="B374" s="3" t="s">
        <v>139</v>
      </c>
      <c r="C374" s="3" t="s">
        <v>145</v>
      </c>
      <c r="D374" s="3" t="s">
        <v>124</v>
      </c>
      <c r="E374" s="10">
        <f ca="1">TODAY()-2403</f>
        <v>41819</v>
      </c>
      <c r="F374" s="4" t="b">
        <v>0</v>
      </c>
      <c r="G374" s="11">
        <v>337100</v>
      </c>
      <c r="H374" s="12" t="s">
        <v>217</v>
      </c>
    </row>
    <row r="375" spans="1:8" x14ac:dyDescent="0.2">
      <c r="A375" s="9">
        <v>374</v>
      </c>
      <c r="B375" s="3" t="s">
        <v>191</v>
      </c>
      <c r="C375" s="3" t="s">
        <v>190</v>
      </c>
      <c r="D375" s="3" t="s">
        <v>124</v>
      </c>
      <c r="E375" s="10">
        <f ca="1">TODAY()-2403</f>
        <v>41819</v>
      </c>
      <c r="F375" s="4" t="b">
        <v>1</v>
      </c>
      <c r="G375" s="11">
        <v>779100</v>
      </c>
      <c r="H375" s="12" t="s">
        <v>217</v>
      </c>
    </row>
    <row r="376" spans="1:8" x14ac:dyDescent="0.2">
      <c r="A376" s="9">
        <v>375</v>
      </c>
      <c r="B376" s="3" t="s">
        <v>155</v>
      </c>
      <c r="C376" s="3" t="s">
        <v>154</v>
      </c>
      <c r="D376" s="3" t="s">
        <v>124</v>
      </c>
      <c r="E376" s="10">
        <f ca="1">TODAY()-2392</f>
        <v>41830</v>
      </c>
      <c r="F376" s="4" t="b">
        <v>0</v>
      </c>
      <c r="G376" s="11">
        <v>255500</v>
      </c>
      <c r="H376" s="12" t="s">
        <v>220</v>
      </c>
    </row>
    <row r="377" spans="1:8" x14ac:dyDescent="0.2">
      <c r="A377" s="9">
        <v>376</v>
      </c>
      <c r="B377" s="3" t="s">
        <v>158</v>
      </c>
      <c r="C377" s="3" t="s">
        <v>184</v>
      </c>
      <c r="D377" s="3" t="s">
        <v>127</v>
      </c>
      <c r="E377" s="10">
        <f ca="1">TODAY()-2384</f>
        <v>41838</v>
      </c>
      <c r="F377" s="4" t="b">
        <v>0</v>
      </c>
      <c r="G377" s="11">
        <v>361000</v>
      </c>
      <c r="H377" s="12" t="s">
        <v>220</v>
      </c>
    </row>
    <row r="378" spans="1:8" x14ac:dyDescent="0.2">
      <c r="A378" s="9">
        <v>377</v>
      </c>
      <c r="B378" s="3" t="s">
        <v>129</v>
      </c>
      <c r="C378" s="3" t="s">
        <v>159</v>
      </c>
      <c r="D378" s="3" t="s">
        <v>121</v>
      </c>
      <c r="E378" s="10">
        <f ca="1">TODAY()-2387</f>
        <v>41835</v>
      </c>
      <c r="F378" s="4" t="b">
        <v>0</v>
      </c>
      <c r="G378" s="11">
        <v>330700</v>
      </c>
      <c r="H378" s="12" t="s">
        <v>219</v>
      </c>
    </row>
    <row r="379" spans="1:8" x14ac:dyDescent="0.2">
      <c r="A379" s="9">
        <v>378</v>
      </c>
      <c r="B379" s="3" t="s">
        <v>143</v>
      </c>
      <c r="C379" s="3" t="s">
        <v>181</v>
      </c>
      <c r="D379" s="3" t="s">
        <v>121</v>
      </c>
      <c r="E379" s="10">
        <f ca="1">TODAY()-2381</f>
        <v>41841</v>
      </c>
      <c r="F379" s="4" t="b">
        <v>0</v>
      </c>
      <c r="G379" s="11">
        <v>672300</v>
      </c>
      <c r="H379" s="12" t="s">
        <v>218</v>
      </c>
    </row>
    <row r="380" spans="1:8" x14ac:dyDescent="0.2">
      <c r="A380" s="9">
        <v>379</v>
      </c>
      <c r="B380" s="3" t="s">
        <v>150</v>
      </c>
      <c r="C380" s="3" t="s">
        <v>178</v>
      </c>
      <c r="D380" s="3" t="s">
        <v>121</v>
      </c>
      <c r="E380" s="10">
        <f ca="1">TODAY()-2378</f>
        <v>41844</v>
      </c>
      <c r="F380" s="4" t="b">
        <v>0</v>
      </c>
      <c r="G380" s="11">
        <v>364700</v>
      </c>
      <c r="H380" s="12" t="s">
        <v>219</v>
      </c>
    </row>
    <row r="381" spans="1:8" x14ac:dyDescent="0.2">
      <c r="A381" s="9">
        <v>380</v>
      </c>
      <c r="B381" s="3" t="s">
        <v>123</v>
      </c>
      <c r="C381" s="3" t="s">
        <v>189</v>
      </c>
      <c r="D381" s="3" t="s">
        <v>121</v>
      </c>
      <c r="E381" s="10">
        <f ca="1">TODAY()-2370</f>
        <v>41852</v>
      </c>
      <c r="F381" s="4" t="b">
        <v>0</v>
      </c>
      <c r="G381" s="11">
        <v>296300</v>
      </c>
      <c r="H381" s="12" t="s">
        <v>218</v>
      </c>
    </row>
    <row r="382" spans="1:8" x14ac:dyDescent="0.2">
      <c r="A382" s="9">
        <v>381</v>
      </c>
      <c r="B382" s="3" t="s">
        <v>150</v>
      </c>
      <c r="C382" s="3" t="s">
        <v>175</v>
      </c>
      <c r="D382" s="3" t="s">
        <v>121</v>
      </c>
      <c r="E382" s="10">
        <f ca="1">TODAY()-2371</f>
        <v>41851</v>
      </c>
      <c r="F382" s="4" t="b">
        <v>0</v>
      </c>
      <c r="G382" s="11">
        <v>276900</v>
      </c>
      <c r="H382" s="12" t="s">
        <v>220</v>
      </c>
    </row>
    <row r="383" spans="1:8" x14ac:dyDescent="0.2">
      <c r="A383" s="9">
        <v>382</v>
      </c>
      <c r="B383" s="3" t="s">
        <v>139</v>
      </c>
      <c r="C383" s="3" t="s">
        <v>138</v>
      </c>
      <c r="D383" s="3" t="s">
        <v>135</v>
      </c>
      <c r="E383" s="10">
        <f ca="1">TODAY()-2372</f>
        <v>41850</v>
      </c>
      <c r="F383" s="4" t="b">
        <v>0</v>
      </c>
      <c r="G383" s="11">
        <v>494100</v>
      </c>
      <c r="H383" s="12" t="s">
        <v>220</v>
      </c>
    </row>
    <row r="384" spans="1:8" x14ac:dyDescent="0.2">
      <c r="A384" s="9">
        <v>383</v>
      </c>
      <c r="B384" s="3" t="s">
        <v>129</v>
      </c>
      <c r="C384" s="3" t="s">
        <v>159</v>
      </c>
      <c r="D384" s="3" t="s">
        <v>121</v>
      </c>
      <c r="E384" s="10">
        <f ca="1">TODAY()-2373</f>
        <v>41849</v>
      </c>
      <c r="F384" s="4" t="b">
        <v>0</v>
      </c>
      <c r="G384" s="11">
        <v>680900</v>
      </c>
      <c r="H384" s="12" t="s">
        <v>219</v>
      </c>
    </row>
    <row r="385" spans="1:8" x14ac:dyDescent="0.2">
      <c r="A385" s="9">
        <v>384</v>
      </c>
      <c r="B385" s="3" t="s">
        <v>137</v>
      </c>
      <c r="C385" s="3" t="s">
        <v>169</v>
      </c>
      <c r="D385" s="3" t="s">
        <v>135</v>
      </c>
      <c r="E385" s="10">
        <f ca="1">TODAY()-2358</f>
        <v>41864</v>
      </c>
      <c r="F385" s="4" t="b">
        <v>1</v>
      </c>
      <c r="G385" s="11">
        <v>264400</v>
      </c>
      <c r="H385" s="12" t="s">
        <v>218</v>
      </c>
    </row>
    <row r="386" spans="1:8" x14ac:dyDescent="0.2">
      <c r="A386" s="9">
        <v>385</v>
      </c>
      <c r="B386" s="3" t="s">
        <v>133</v>
      </c>
      <c r="C386" s="3" t="s">
        <v>208</v>
      </c>
      <c r="D386" s="3" t="s">
        <v>124</v>
      </c>
      <c r="E386" s="10">
        <f ca="1">TODAY()-2351</f>
        <v>41871</v>
      </c>
      <c r="F386" s="4" t="b">
        <v>1</v>
      </c>
      <c r="G386" s="11">
        <v>688600</v>
      </c>
      <c r="H386" s="12" t="s">
        <v>217</v>
      </c>
    </row>
    <row r="387" spans="1:8" x14ac:dyDescent="0.2">
      <c r="A387" s="9">
        <v>386</v>
      </c>
      <c r="B387" s="3" t="s">
        <v>163</v>
      </c>
      <c r="C387" s="3" t="s">
        <v>162</v>
      </c>
      <c r="D387" s="3" t="s">
        <v>127</v>
      </c>
      <c r="E387" s="10">
        <f ca="1">TODAY()-2349</f>
        <v>41873</v>
      </c>
      <c r="F387" s="4" t="b">
        <v>1</v>
      </c>
      <c r="G387" s="11">
        <v>898800</v>
      </c>
      <c r="H387" s="12" t="s">
        <v>217</v>
      </c>
    </row>
    <row r="388" spans="1:8" x14ac:dyDescent="0.2">
      <c r="A388" s="9">
        <v>387</v>
      </c>
      <c r="B388" s="3" t="s">
        <v>120</v>
      </c>
      <c r="C388" s="3" t="s">
        <v>165</v>
      </c>
      <c r="D388" s="3" t="s">
        <v>131</v>
      </c>
      <c r="E388" s="10">
        <f ca="1">TODAY()-2342</f>
        <v>41880</v>
      </c>
      <c r="F388" s="4" t="b">
        <v>0</v>
      </c>
      <c r="G388" s="11">
        <v>296300</v>
      </c>
      <c r="H388" s="12" t="s">
        <v>217</v>
      </c>
    </row>
    <row r="389" spans="1:8" x14ac:dyDescent="0.2">
      <c r="A389" s="9">
        <v>388</v>
      </c>
      <c r="B389" s="3" t="s">
        <v>120</v>
      </c>
      <c r="C389" s="3" t="s">
        <v>165</v>
      </c>
      <c r="D389" s="3" t="s">
        <v>131</v>
      </c>
      <c r="E389" s="10">
        <f ca="1">TODAY()-2338</f>
        <v>41884</v>
      </c>
      <c r="F389" s="4" t="b">
        <v>0</v>
      </c>
      <c r="G389" s="11">
        <v>246600</v>
      </c>
      <c r="H389" s="12" t="s">
        <v>217</v>
      </c>
    </row>
    <row r="390" spans="1:8" x14ac:dyDescent="0.2">
      <c r="A390" s="9">
        <v>389</v>
      </c>
      <c r="B390" s="3" t="s">
        <v>129</v>
      </c>
      <c r="C390" s="3" t="s">
        <v>128</v>
      </c>
      <c r="D390" s="3" t="s">
        <v>124</v>
      </c>
      <c r="E390" s="10">
        <f ca="1">TODAY()-2333</f>
        <v>41889</v>
      </c>
      <c r="F390" s="4" t="b">
        <v>0</v>
      </c>
      <c r="G390" s="11">
        <v>266500</v>
      </c>
      <c r="H390" s="12" t="s">
        <v>217</v>
      </c>
    </row>
    <row r="391" spans="1:8" x14ac:dyDescent="0.2">
      <c r="A391" s="9">
        <v>390</v>
      </c>
      <c r="B391" s="3" t="s">
        <v>133</v>
      </c>
      <c r="C391" s="3" t="s">
        <v>153</v>
      </c>
      <c r="D391" s="3" t="s">
        <v>135</v>
      </c>
      <c r="E391" s="10">
        <f ca="1">TODAY()-2324</f>
        <v>41898</v>
      </c>
      <c r="F391" s="4" t="b">
        <v>1</v>
      </c>
      <c r="G391" s="11">
        <v>289200</v>
      </c>
      <c r="H391" s="12" t="s">
        <v>218</v>
      </c>
    </row>
    <row r="392" spans="1:8" x14ac:dyDescent="0.2">
      <c r="A392" s="9">
        <v>391</v>
      </c>
      <c r="B392" s="3" t="s">
        <v>129</v>
      </c>
      <c r="C392" s="3" t="s">
        <v>161</v>
      </c>
      <c r="D392" s="3" t="s">
        <v>121</v>
      </c>
      <c r="E392" s="10">
        <f ca="1">TODAY()-2325</f>
        <v>41897</v>
      </c>
      <c r="F392" s="4" t="b">
        <v>1</v>
      </c>
      <c r="G392" s="11">
        <v>252400</v>
      </c>
      <c r="H392" s="12" t="s">
        <v>218</v>
      </c>
    </row>
    <row r="393" spans="1:8" x14ac:dyDescent="0.2">
      <c r="A393" s="9">
        <v>392</v>
      </c>
      <c r="B393" s="3" t="s">
        <v>146</v>
      </c>
      <c r="C393" s="3" t="s">
        <v>160</v>
      </c>
      <c r="D393" s="3" t="s">
        <v>121</v>
      </c>
      <c r="E393" s="10">
        <f ca="1">TODAY()-2316</f>
        <v>41906</v>
      </c>
      <c r="F393" s="4" t="b">
        <v>0</v>
      </c>
      <c r="G393" s="11">
        <v>284700</v>
      </c>
      <c r="H393" s="12" t="s">
        <v>218</v>
      </c>
    </row>
    <row r="394" spans="1:8" x14ac:dyDescent="0.2">
      <c r="A394" s="9">
        <v>393</v>
      </c>
      <c r="B394" s="3" t="s">
        <v>191</v>
      </c>
      <c r="C394" s="3" t="s">
        <v>199</v>
      </c>
      <c r="D394" s="3" t="s">
        <v>135</v>
      </c>
      <c r="E394" s="10">
        <f ca="1">TODAY()-2316</f>
        <v>41906</v>
      </c>
      <c r="F394" s="4" t="b">
        <v>0</v>
      </c>
      <c r="G394" s="11">
        <v>654900</v>
      </c>
      <c r="H394" s="12" t="s">
        <v>218</v>
      </c>
    </row>
    <row r="395" spans="1:8" x14ac:dyDescent="0.2">
      <c r="A395" s="9">
        <v>394</v>
      </c>
      <c r="B395" s="3" t="s">
        <v>137</v>
      </c>
      <c r="C395" s="3" t="s">
        <v>151</v>
      </c>
      <c r="D395" s="3" t="s">
        <v>135</v>
      </c>
      <c r="E395" s="10">
        <f ca="1">TODAY()-2309</f>
        <v>41913</v>
      </c>
      <c r="F395" s="4" t="b">
        <v>1</v>
      </c>
      <c r="G395" s="11">
        <v>244200</v>
      </c>
      <c r="H395" s="12" t="s">
        <v>219</v>
      </c>
    </row>
    <row r="396" spans="1:8" x14ac:dyDescent="0.2">
      <c r="A396" s="9">
        <v>395</v>
      </c>
      <c r="B396" s="3" t="s">
        <v>158</v>
      </c>
      <c r="C396" s="3" t="s">
        <v>184</v>
      </c>
      <c r="D396" s="3" t="s">
        <v>127</v>
      </c>
      <c r="E396" s="10">
        <f ca="1">TODAY()-2312</f>
        <v>41910</v>
      </c>
      <c r="F396" s="4" t="b">
        <v>0</v>
      </c>
      <c r="G396" s="11">
        <v>263500</v>
      </c>
      <c r="H396" s="12" t="s">
        <v>220</v>
      </c>
    </row>
    <row r="397" spans="1:8" x14ac:dyDescent="0.2">
      <c r="A397" s="9">
        <v>396</v>
      </c>
      <c r="B397" s="3" t="s">
        <v>155</v>
      </c>
      <c r="C397" s="3" t="s">
        <v>193</v>
      </c>
      <c r="D397" s="3" t="s">
        <v>124</v>
      </c>
      <c r="E397" s="10">
        <f ca="1">TODAY()-2314</f>
        <v>41908</v>
      </c>
      <c r="F397" s="4" t="b">
        <v>0</v>
      </c>
      <c r="G397" s="11">
        <v>390200</v>
      </c>
      <c r="H397" s="12" t="s">
        <v>218</v>
      </c>
    </row>
    <row r="398" spans="1:8" x14ac:dyDescent="0.2">
      <c r="A398" s="9">
        <v>397</v>
      </c>
      <c r="B398" s="3" t="s">
        <v>137</v>
      </c>
      <c r="C398" s="3" t="s">
        <v>169</v>
      </c>
      <c r="D398" s="3" t="s">
        <v>135</v>
      </c>
      <c r="E398" s="10">
        <f ca="1">TODAY()-2309</f>
        <v>41913</v>
      </c>
      <c r="F398" s="4" t="b">
        <v>0</v>
      </c>
      <c r="G398" s="11">
        <v>381500</v>
      </c>
      <c r="H398" s="12" t="s">
        <v>218</v>
      </c>
    </row>
    <row r="399" spans="1:8" x14ac:dyDescent="0.2">
      <c r="A399" s="9">
        <v>398</v>
      </c>
      <c r="B399" s="3" t="s">
        <v>148</v>
      </c>
      <c r="C399" s="3" t="s">
        <v>210</v>
      </c>
      <c r="D399" s="3" t="s">
        <v>131</v>
      </c>
      <c r="E399" s="10">
        <f ca="1">TODAY()-2300</f>
        <v>41922</v>
      </c>
      <c r="F399" s="4" t="b">
        <v>1</v>
      </c>
      <c r="G399" s="11">
        <v>446900</v>
      </c>
      <c r="H399" s="12" t="s">
        <v>219</v>
      </c>
    </row>
    <row r="400" spans="1:8" x14ac:dyDescent="0.2">
      <c r="A400" s="9">
        <v>399</v>
      </c>
      <c r="B400" s="3" t="s">
        <v>129</v>
      </c>
      <c r="C400" s="3" t="s">
        <v>140</v>
      </c>
      <c r="D400" s="3" t="s">
        <v>135</v>
      </c>
      <c r="E400" s="10">
        <f ca="1">TODAY()-2304</f>
        <v>41918</v>
      </c>
      <c r="F400" s="4" t="b">
        <v>1</v>
      </c>
      <c r="G400" s="11">
        <v>709100</v>
      </c>
      <c r="H400" s="12" t="s">
        <v>218</v>
      </c>
    </row>
    <row r="401" spans="1:8" x14ac:dyDescent="0.2">
      <c r="A401" s="9">
        <v>400</v>
      </c>
      <c r="B401" s="3" t="s">
        <v>126</v>
      </c>
      <c r="C401" s="3" t="s">
        <v>183</v>
      </c>
      <c r="D401" s="3" t="s">
        <v>127</v>
      </c>
      <c r="E401" s="10">
        <f ca="1">TODAY()-2303</f>
        <v>41919</v>
      </c>
      <c r="F401" s="4" t="b">
        <v>0</v>
      </c>
      <c r="G401" s="11">
        <v>276400</v>
      </c>
      <c r="H401" s="12" t="s">
        <v>218</v>
      </c>
    </row>
    <row r="402" spans="1:8" x14ac:dyDescent="0.2">
      <c r="A402" s="9">
        <v>401</v>
      </c>
      <c r="B402" s="3" t="s">
        <v>146</v>
      </c>
      <c r="C402" s="3" t="s">
        <v>201</v>
      </c>
      <c r="D402" s="3" t="s">
        <v>135</v>
      </c>
      <c r="E402" s="10">
        <f ca="1">TODAY()-2300</f>
        <v>41922</v>
      </c>
      <c r="F402" s="4" t="b">
        <v>1</v>
      </c>
      <c r="G402" s="11">
        <v>295500</v>
      </c>
      <c r="H402" s="12" t="s">
        <v>220</v>
      </c>
    </row>
    <row r="403" spans="1:8" x14ac:dyDescent="0.2">
      <c r="A403" s="9">
        <v>402</v>
      </c>
      <c r="B403" s="3" t="s">
        <v>146</v>
      </c>
      <c r="C403" s="3" t="s">
        <v>201</v>
      </c>
      <c r="D403" s="3" t="s">
        <v>135</v>
      </c>
      <c r="E403" s="10">
        <f ca="1">TODAY()-2299</f>
        <v>41923</v>
      </c>
      <c r="F403" s="4" t="b">
        <v>0</v>
      </c>
      <c r="G403" s="11">
        <v>648800</v>
      </c>
      <c r="H403" s="12" t="s">
        <v>220</v>
      </c>
    </row>
    <row r="404" spans="1:8" x14ac:dyDescent="0.2">
      <c r="A404" s="9">
        <v>403</v>
      </c>
      <c r="B404" s="3" t="s">
        <v>150</v>
      </c>
      <c r="C404" s="3" t="s">
        <v>136</v>
      </c>
      <c r="D404" s="3" t="s">
        <v>124</v>
      </c>
      <c r="E404" s="10">
        <f ca="1">TODAY()-2294</f>
        <v>41928</v>
      </c>
      <c r="F404" s="4" t="b">
        <v>0</v>
      </c>
      <c r="G404" s="11">
        <v>342100</v>
      </c>
      <c r="H404" s="12" t="s">
        <v>220</v>
      </c>
    </row>
    <row r="405" spans="1:8" x14ac:dyDescent="0.2">
      <c r="A405" s="9">
        <v>404</v>
      </c>
      <c r="B405" s="3" t="s">
        <v>150</v>
      </c>
      <c r="C405" s="3" t="s">
        <v>152</v>
      </c>
      <c r="D405" s="3" t="s">
        <v>135</v>
      </c>
      <c r="E405" s="10">
        <f ca="1">TODAY()-2296</f>
        <v>41926</v>
      </c>
      <c r="F405" s="4" t="b">
        <v>0</v>
      </c>
      <c r="G405" s="11">
        <v>408800</v>
      </c>
      <c r="H405" s="12" t="s">
        <v>219</v>
      </c>
    </row>
    <row r="406" spans="1:8" x14ac:dyDescent="0.2">
      <c r="A406" s="9">
        <v>405</v>
      </c>
      <c r="B406" s="3" t="s">
        <v>133</v>
      </c>
      <c r="C406" s="3" t="s">
        <v>171</v>
      </c>
      <c r="D406" s="3" t="s">
        <v>131</v>
      </c>
      <c r="E406" s="10">
        <f ca="1">TODAY()-2296</f>
        <v>41926</v>
      </c>
      <c r="F406" s="4" t="b">
        <v>1</v>
      </c>
      <c r="G406" s="11">
        <v>330000</v>
      </c>
      <c r="H406" s="12" t="s">
        <v>217</v>
      </c>
    </row>
    <row r="407" spans="1:8" x14ac:dyDescent="0.2">
      <c r="A407" s="9">
        <v>406</v>
      </c>
      <c r="B407" s="3" t="s">
        <v>146</v>
      </c>
      <c r="C407" s="3" t="s">
        <v>177</v>
      </c>
      <c r="D407" s="3" t="s">
        <v>124</v>
      </c>
      <c r="E407" s="10">
        <f ca="1">TODAY()-2287</f>
        <v>41935</v>
      </c>
      <c r="F407" s="4" t="b">
        <v>1</v>
      </c>
      <c r="G407" s="11">
        <v>440400</v>
      </c>
      <c r="H407" s="12" t="s">
        <v>217</v>
      </c>
    </row>
    <row r="408" spans="1:8" x14ac:dyDescent="0.2">
      <c r="A408" s="9">
        <v>407</v>
      </c>
      <c r="B408" s="3" t="s">
        <v>163</v>
      </c>
      <c r="C408" s="3" t="s">
        <v>162</v>
      </c>
      <c r="D408" s="3" t="s">
        <v>127</v>
      </c>
      <c r="E408" s="10">
        <f ca="1">TODAY()-2279</f>
        <v>41943</v>
      </c>
      <c r="F408" s="4" t="b">
        <v>0</v>
      </c>
      <c r="G408" s="11">
        <v>292300</v>
      </c>
      <c r="H408" s="12" t="s">
        <v>217</v>
      </c>
    </row>
    <row r="409" spans="1:8" x14ac:dyDescent="0.2">
      <c r="A409" s="9">
        <v>408</v>
      </c>
      <c r="B409" s="3" t="s">
        <v>150</v>
      </c>
      <c r="C409" s="3" t="s">
        <v>168</v>
      </c>
      <c r="D409" s="3" t="s">
        <v>124</v>
      </c>
      <c r="E409" s="10">
        <f ca="1">TODAY()-2287</f>
        <v>41935</v>
      </c>
      <c r="F409" s="4" t="b">
        <v>0</v>
      </c>
      <c r="G409" s="11">
        <v>335800</v>
      </c>
      <c r="H409" s="12" t="s">
        <v>218</v>
      </c>
    </row>
    <row r="410" spans="1:8" x14ac:dyDescent="0.2">
      <c r="A410" s="9">
        <v>409</v>
      </c>
      <c r="B410" s="3" t="s">
        <v>120</v>
      </c>
      <c r="C410" s="3" t="s">
        <v>165</v>
      </c>
      <c r="D410" s="3" t="s">
        <v>131</v>
      </c>
      <c r="E410" s="10">
        <f ca="1">TODAY()-2284</f>
        <v>41938</v>
      </c>
      <c r="F410" s="4" t="b">
        <v>1</v>
      </c>
      <c r="G410" s="11">
        <v>654000</v>
      </c>
      <c r="H410" s="12" t="s">
        <v>217</v>
      </c>
    </row>
    <row r="411" spans="1:8" x14ac:dyDescent="0.2">
      <c r="A411" s="9">
        <v>410</v>
      </c>
      <c r="B411" s="3" t="s">
        <v>191</v>
      </c>
      <c r="C411" s="3" t="s">
        <v>190</v>
      </c>
      <c r="D411" s="3" t="s">
        <v>124</v>
      </c>
      <c r="E411" s="10">
        <f ca="1">TODAY()-2272</f>
        <v>41950</v>
      </c>
      <c r="F411" s="4" t="b">
        <v>1</v>
      </c>
      <c r="G411" s="11">
        <v>256200</v>
      </c>
      <c r="H411" s="12" t="s">
        <v>217</v>
      </c>
    </row>
    <row r="412" spans="1:8" x14ac:dyDescent="0.2">
      <c r="A412" s="9">
        <v>411</v>
      </c>
      <c r="B412" s="3" t="s">
        <v>126</v>
      </c>
      <c r="C412" s="3" t="s">
        <v>183</v>
      </c>
      <c r="D412" s="3" t="s">
        <v>127</v>
      </c>
      <c r="E412" s="10">
        <f ca="1">TODAY()-2268</f>
        <v>41954</v>
      </c>
      <c r="F412" s="4" t="b">
        <v>0</v>
      </c>
      <c r="G412" s="11">
        <v>252300</v>
      </c>
      <c r="H412" s="12" t="s">
        <v>218</v>
      </c>
    </row>
    <row r="413" spans="1:8" x14ac:dyDescent="0.2">
      <c r="A413" s="9">
        <v>412</v>
      </c>
      <c r="B413" s="3" t="s">
        <v>163</v>
      </c>
      <c r="C413" s="3" t="s">
        <v>162</v>
      </c>
      <c r="D413" s="3" t="s">
        <v>127</v>
      </c>
      <c r="E413" s="10">
        <f ca="1">TODAY()-2269</f>
        <v>41953</v>
      </c>
      <c r="F413" s="4" t="b">
        <v>0</v>
      </c>
      <c r="G413" s="11">
        <v>489100</v>
      </c>
      <c r="H413" s="12" t="s">
        <v>217</v>
      </c>
    </row>
    <row r="414" spans="1:8" x14ac:dyDescent="0.2">
      <c r="A414" s="9">
        <v>413</v>
      </c>
      <c r="B414" s="3" t="s">
        <v>129</v>
      </c>
      <c r="C414" s="3" t="s">
        <v>134</v>
      </c>
      <c r="D414" s="3" t="s">
        <v>135</v>
      </c>
      <c r="E414" s="10">
        <f ca="1">TODAY()-2255</f>
        <v>41967</v>
      </c>
      <c r="F414" s="4" t="b">
        <v>0</v>
      </c>
      <c r="G414" s="11">
        <v>272900</v>
      </c>
      <c r="H414" s="12" t="s">
        <v>220</v>
      </c>
    </row>
    <row r="415" spans="1:8" x14ac:dyDescent="0.2">
      <c r="A415" s="9">
        <v>414</v>
      </c>
      <c r="B415" s="3" t="s">
        <v>148</v>
      </c>
      <c r="C415" s="3" t="s">
        <v>147</v>
      </c>
      <c r="D415" s="3" t="s">
        <v>121</v>
      </c>
      <c r="E415" s="10">
        <f ca="1">TODAY()-2257</f>
        <v>41965</v>
      </c>
      <c r="F415" s="4" t="b">
        <v>0</v>
      </c>
      <c r="G415" s="11">
        <v>279000</v>
      </c>
      <c r="H415" s="12" t="s">
        <v>218</v>
      </c>
    </row>
    <row r="416" spans="1:8" x14ac:dyDescent="0.2">
      <c r="A416" s="9">
        <v>415</v>
      </c>
      <c r="B416" s="3" t="s">
        <v>129</v>
      </c>
      <c r="C416" s="3" t="s">
        <v>134</v>
      </c>
      <c r="D416" s="3" t="s">
        <v>135</v>
      </c>
      <c r="E416" s="10">
        <f ca="1">TODAY()-2247</f>
        <v>41975</v>
      </c>
      <c r="F416" s="4" t="b">
        <v>0</v>
      </c>
      <c r="G416" s="11">
        <v>764100</v>
      </c>
      <c r="H416" s="12" t="s">
        <v>220</v>
      </c>
    </row>
    <row r="417" spans="1:8" x14ac:dyDescent="0.2">
      <c r="A417" s="9">
        <v>416</v>
      </c>
      <c r="B417" s="3" t="s">
        <v>120</v>
      </c>
      <c r="C417" s="3" t="s">
        <v>119</v>
      </c>
      <c r="D417" s="3" t="s">
        <v>121</v>
      </c>
      <c r="E417" s="10">
        <f ca="1">TODAY()-2244</f>
        <v>41978</v>
      </c>
      <c r="F417" s="4" t="b">
        <v>0</v>
      </c>
      <c r="G417" s="11">
        <v>275600</v>
      </c>
      <c r="H417" s="12" t="s">
        <v>217</v>
      </c>
    </row>
    <row r="418" spans="1:8" x14ac:dyDescent="0.2">
      <c r="A418" s="9">
        <v>417</v>
      </c>
      <c r="B418" s="3" t="s">
        <v>120</v>
      </c>
      <c r="C418" s="3" t="s">
        <v>170</v>
      </c>
      <c r="D418" s="3" t="s">
        <v>121</v>
      </c>
      <c r="E418" s="10">
        <f ca="1">TODAY()-2245</f>
        <v>41977</v>
      </c>
      <c r="F418" s="4" t="b">
        <v>0</v>
      </c>
      <c r="G418" s="11">
        <v>287300</v>
      </c>
      <c r="H418" s="12" t="s">
        <v>220</v>
      </c>
    </row>
    <row r="419" spans="1:8" x14ac:dyDescent="0.2">
      <c r="A419" s="9">
        <v>418</v>
      </c>
      <c r="B419" s="3" t="s">
        <v>137</v>
      </c>
      <c r="C419" s="3" t="s">
        <v>167</v>
      </c>
      <c r="D419" s="3" t="s">
        <v>135</v>
      </c>
      <c r="E419" s="10">
        <f ca="1">TODAY()-2242</f>
        <v>41980</v>
      </c>
      <c r="F419" s="4" t="b">
        <v>0</v>
      </c>
      <c r="G419" s="11">
        <v>295700</v>
      </c>
      <c r="H419" s="12" t="s">
        <v>218</v>
      </c>
    </row>
    <row r="420" spans="1:8" x14ac:dyDescent="0.2">
      <c r="A420" s="9">
        <v>419</v>
      </c>
      <c r="B420" s="3" t="s">
        <v>173</v>
      </c>
      <c r="C420" s="3" t="s">
        <v>200</v>
      </c>
      <c r="D420" s="3" t="s">
        <v>135</v>
      </c>
      <c r="E420" s="10">
        <f ca="1">TODAY()-2234</f>
        <v>41988</v>
      </c>
      <c r="F420" s="4" t="b">
        <v>0</v>
      </c>
      <c r="G420" s="11">
        <v>288000</v>
      </c>
      <c r="H420" s="12" t="s">
        <v>219</v>
      </c>
    </row>
    <row r="421" spans="1:8" x14ac:dyDescent="0.2">
      <c r="A421" s="9">
        <v>420</v>
      </c>
      <c r="B421" s="3" t="s">
        <v>139</v>
      </c>
      <c r="C421" s="3" t="s">
        <v>176</v>
      </c>
      <c r="D421" s="3" t="s">
        <v>121</v>
      </c>
      <c r="E421" s="10">
        <f ca="1">TODAY()-2228</f>
        <v>41994</v>
      </c>
      <c r="F421" s="4" t="b">
        <v>0</v>
      </c>
      <c r="G421" s="13">
        <v>685100</v>
      </c>
      <c r="H421" s="12" t="s">
        <v>217</v>
      </c>
    </row>
    <row r="422" spans="1:8" x14ac:dyDescent="0.2">
      <c r="A422" s="9">
        <v>421</v>
      </c>
      <c r="B422" s="3" t="s">
        <v>148</v>
      </c>
      <c r="C422" s="3" t="s">
        <v>172</v>
      </c>
      <c r="D422" s="3" t="s">
        <v>121</v>
      </c>
      <c r="E422" s="10">
        <f ca="1">TODAY()-2221</f>
        <v>42001</v>
      </c>
      <c r="F422" s="4" t="b">
        <v>0</v>
      </c>
      <c r="G422" s="11">
        <v>294800</v>
      </c>
      <c r="H422" s="12" t="s">
        <v>218</v>
      </c>
    </row>
    <row r="423" spans="1:8" x14ac:dyDescent="0.2">
      <c r="A423" s="9">
        <v>422</v>
      </c>
      <c r="B423" s="3" t="s">
        <v>129</v>
      </c>
      <c r="C423" s="3" t="s">
        <v>128</v>
      </c>
      <c r="D423" s="3" t="s">
        <v>124</v>
      </c>
      <c r="E423" s="10">
        <f ca="1">TODAY()-2228</f>
        <v>41994</v>
      </c>
      <c r="F423" s="4" t="b">
        <v>0</v>
      </c>
      <c r="G423" s="11">
        <v>894500</v>
      </c>
      <c r="H423" s="12" t="s">
        <v>217</v>
      </c>
    </row>
    <row r="424" spans="1:8" x14ac:dyDescent="0.2">
      <c r="A424" s="9">
        <v>423</v>
      </c>
      <c r="B424" s="3" t="s">
        <v>129</v>
      </c>
      <c r="C424" s="3" t="s">
        <v>140</v>
      </c>
      <c r="D424" s="3" t="s">
        <v>135</v>
      </c>
      <c r="E424" s="10">
        <f ca="1">TODAY()-2212</f>
        <v>42010</v>
      </c>
      <c r="F424" s="4" t="b">
        <v>0</v>
      </c>
      <c r="G424" s="11">
        <v>244700</v>
      </c>
      <c r="H424" s="12" t="s">
        <v>218</v>
      </c>
    </row>
    <row r="425" spans="1:8" x14ac:dyDescent="0.2">
      <c r="A425" s="9">
        <v>424</v>
      </c>
      <c r="B425" s="3" t="s">
        <v>143</v>
      </c>
      <c r="C425" s="3" t="s">
        <v>206</v>
      </c>
      <c r="D425" s="3" t="s">
        <v>135</v>
      </c>
      <c r="E425" s="10">
        <f ca="1">TODAY()-2207</f>
        <v>42015</v>
      </c>
      <c r="F425" s="4" t="b">
        <v>0</v>
      </c>
      <c r="G425" s="13">
        <v>684400</v>
      </c>
      <c r="H425" s="12" t="s">
        <v>219</v>
      </c>
    </row>
    <row r="426" spans="1:8" x14ac:dyDescent="0.2">
      <c r="A426" s="9">
        <v>425</v>
      </c>
      <c r="B426" s="3" t="s">
        <v>146</v>
      </c>
      <c r="C426" s="3" t="s">
        <v>188</v>
      </c>
      <c r="D426" s="3" t="s">
        <v>121</v>
      </c>
      <c r="E426" s="10">
        <f ca="1">TODAY()-2216</f>
        <v>42006</v>
      </c>
      <c r="F426" s="4" t="b">
        <v>0</v>
      </c>
      <c r="G426" s="11">
        <v>607200</v>
      </c>
      <c r="H426" s="12" t="s">
        <v>218</v>
      </c>
    </row>
    <row r="427" spans="1:8" x14ac:dyDescent="0.2">
      <c r="A427" s="9">
        <v>426</v>
      </c>
      <c r="B427" s="3" t="s">
        <v>197</v>
      </c>
      <c r="C427" s="3" t="s">
        <v>202</v>
      </c>
      <c r="D427" s="3" t="s">
        <v>135</v>
      </c>
      <c r="E427" s="10">
        <f ca="1">TODAY()-2206</f>
        <v>42016</v>
      </c>
      <c r="F427" s="4" t="b">
        <v>0</v>
      </c>
      <c r="G427" s="11">
        <v>298300</v>
      </c>
      <c r="H427" s="12" t="s">
        <v>217</v>
      </c>
    </row>
    <row r="428" spans="1:8" x14ac:dyDescent="0.2">
      <c r="A428" s="9">
        <v>427</v>
      </c>
      <c r="B428" s="3" t="s">
        <v>146</v>
      </c>
      <c r="C428" s="3" t="s">
        <v>188</v>
      </c>
      <c r="D428" s="3" t="s">
        <v>121</v>
      </c>
      <c r="E428" s="10">
        <f ca="1">TODAY()-2204</f>
        <v>42018</v>
      </c>
      <c r="F428" s="4" t="b">
        <v>0</v>
      </c>
      <c r="G428" s="11">
        <v>248800</v>
      </c>
      <c r="H428" s="12" t="s">
        <v>218</v>
      </c>
    </row>
    <row r="429" spans="1:8" x14ac:dyDescent="0.2">
      <c r="A429" s="9">
        <v>428</v>
      </c>
      <c r="B429" s="3" t="s">
        <v>123</v>
      </c>
      <c r="C429" s="3" t="s">
        <v>189</v>
      </c>
      <c r="D429" s="3" t="s">
        <v>121</v>
      </c>
      <c r="E429" s="10">
        <f ca="1">TODAY()-2199</f>
        <v>42023</v>
      </c>
      <c r="F429" s="4" t="b">
        <v>0</v>
      </c>
      <c r="G429" s="11">
        <v>271400</v>
      </c>
      <c r="H429" s="12" t="s">
        <v>218</v>
      </c>
    </row>
    <row r="430" spans="1:8" x14ac:dyDescent="0.2">
      <c r="A430" s="9">
        <v>429</v>
      </c>
      <c r="B430" s="3" t="s">
        <v>150</v>
      </c>
      <c r="C430" s="3" t="s">
        <v>178</v>
      </c>
      <c r="D430" s="3" t="s">
        <v>121</v>
      </c>
      <c r="E430" s="10">
        <f ca="1">TODAY()-2194</f>
        <v>42028</v>
      </c>
      <c r="F430" s="4" t="b">
        <v>0</v>
      </c>
      <c r="G430" s="11">
        <v>280600</v>
      </c>
      <c r="H430" s="12" t="s">
        <v>219</v>
      </c>
    </row>
    <row r="431" spans="1:8" x14ac:dyDescent="0.2">
      <c r="A431" s="9">
        <v>430</v>
      </c>
      <c r="B431" s="3" t="s">
        <v>155</v>
      </c>
      <c r="C431" s="3" t="s">
        <v>154</v>
      </c>
      <c r="D431" s="3" t="s">
        <v>124</v>
      </c>
      <c r="E431" s="10">
        <f ca="1">TODAY()-2200</f>
        <v>42022</v>
      </c>
      <c r="F431" s="4" t="b">
        <v>0</v>
      </c>
      <c r="G431" s="11">
        <v>255600</v>
      </c>
      <c r="H431" s="12" t="s">
        <v>220</v>
      </c>
    </row>
    <row r="432" spans="1:8" x14ac:dyDescent="0.2">
      <c r="A432" s="9">
        <v>431</v>
      </c>
      <c r="B432" s="3" t="s">
        <v>191</v>
      </c>
      <c r="C432" s="3" t="s">
        <v>199</v>
      </c>
      <c r="D432" s="3" t="s">
        <v>135</v>
      </c>
      <c r="E432" s="10">
        <f ca="1">TODAY()-2193</f>
        <v>42029</v>
      </c>
      <c r="F432" s="4" t="b">
        <v>0</v>
      </c>
      <c r="G432" s="11">
        <v>292200</v>
      </c>
      <c r="H432" s="12" t="s">
        <v>218</v>
      </c>
    </row>
    <row r="433" spans="1:8" x14ac:dyDescent="0.2">
      <c r="A433" s="9">
        <v>432</v>
      </c>
      <c r="B433" s="3" t="s">
        <v>150</v>
      </c>
      <c r="C433" s="3" t="s">
        <v>178</v>
      </c>
      <c r="D433" s="3" t="s">
        <v>121</v>
      </c>
      <c r="E433" s="10">
        <f ca="1">TODAY()-2193</f>
        <v>42029</v>
      </c>
      <c r="F433" s="4" t="b">
        <v>0</v>
      </c>
      <c r="G433" s="11">
        <v>252200</v>
      </c>
      <c r="H433" s="12" t="s">
        <v>219</v>
      </c>
    </row>
    <row r="434" spans="1:8" x14ac:dyDescent="0.2">
      <c r="A434" s="9">
        <v>433</v>
      </c>
      <c r="B434" s="3" t="s">
        <v>139</v>
      </c>
      <c r="C434" s="3" t="s">
        <v>176</v>
      </c>
      <c r="D434" s="3" t="s">
        <v>121</v>
      </c>
      <c r="E434" s="10">
        <f ca="1">TODAY()-2184</f>
        <v>42038</v>
      </c>
      <c r="F434" s="4" t="b">
        <v>0</v>
      </c>
      <c r="G434" s="11">
        <v>258400</v>
      </c>
      <c r="H434" s="12" t="s">
        <v>217</v>
      </c>
    </row>
    <row r="435" spans="1:8" x14ac:dyDescent="0.2">
      <c r="A435" s="9">
        <v>434</v>
      </c>
      <c r="B435" s="3" t="s">
        <v>137</v>
      </c>
      <c r="C435" s="3" t="s">
        <v>167</v>
      </c>
      <c r="D435" s="3" t="s">
        <v>135</v>
      </c>
      <c r="E435" s="10">
        <f ca="1">TODAY()-2189</f>
        <v>42033</v>
      </c>
      <c r="F435" s="4" t="b">
        <v>0</v>
      </c>
      <c r="G435" s="11">
        <v>237300</v>
      </c>
      <c r="H435" s="12" t="s">
        <v>218</v>
      </c>
    </row>
    <row r="436" spans="1:8" x14ac:dyDescent="0.2">
      <c r="A436" s="9">
        <v>435</v>
      </c>
      <c r="B436" s="3" t="s">
        <v>150</v>
      </c>
      <c r="C436" s="3" t="s">
        <v>152</v>
      </c>
      <c r="D436" s="3" t="s">
        <v>135</v>
      </c>
      <c r="E436" s="10">
        <f ca="1">TODAY()-2178</f>
        <v>42044</v>
      </c>
      <c r="F436" s="4" t="b">
        <v>0</v>
      </c>
      <c r="G436" s="11">
        <v>266300</v>
      </c>
      <c r="H436" s="12" t="s">
        <v>219</v>
      </c>
    </row>
    <row r="437" spans="1:8" x14ac:dyDescent="0.2">
      <c r="A437" s="9">
        <v>436</v>
      </c>
      <c r="B437" s="3" t="s">
        <v>191</v>
      </c>
      <c r="C437" s="3" t="s">
        <v>199</v>
      </c>
      <c r="D437" s="3" t="s">
        <v>135</v>
      </c>
      <c r="E437" s="10">
        <f ca="1">TODAY()-2170</f>
        <v>42052</v>
      </c>
      <c r="F437" s="4" t="b">
        <v>1</v>
      </c>
      <c r="G437" s="11">
        <v>272700</v>
      </c>
      <c r="H437" s="12" t="s">
        <v>218</v>
      </c>
    </row>
    <row r="438" spans="1:8" x14ac:dyDescent="0.2">
      <c r="A438" s="9">
        <v>437</v>
      </c>
      <c r="B438" s="3" t="s">
        <v>173</v>
      </c>
      <c r="C438" s="3" t="s">
        <v>185</v>
      </c>
      <c r="D438" s="3" t="s">
        <v>131</v>
      </c>
      <c r="E438" s="10">
        <f ca="1">TODAY()-2177</f>
        <v>42045</v>
      </c>
      <c r="F438" s="4" t="b">
        <v>0</v>
      </c>
      <c r="G438" s="11">
        <v>622200</v>
      </c>
      <c r="H438" s="12" t="s">
        <v>217</v>
      </c>
    </row>
    <row r="439" spans="1:8" x14ac:dyDescent="0.2">
      <c r="A439" s="9">
        <v>438</v>
      </c>
      <c r="B439" s="3" t="s">
        <v>120</v>
      </c>
      <c r="C439" s="3" t="s">
        <v>170</v>
      </c>
      <c r="D439" s="3" t="s">
        <v>121</v>
      </c>
      <c r="E439" s="10">
        <f ca="1">TODAY()-2171</f>
        <v>42051</v>
      </c>
      <c r="F439" s="4" t="b">
        <v>0</v>
      </c>
      <c r="G439" s="11">
        <v>252700</v>
      </c>
      <c r="H439" s="12" t="s">
        <v>220</v>
      </c>
    </row>
    <row r="440" spans="1:8" x14ac:dyDescent="0.2">
      <c r="A440" s="9">
        <v>439</v>
      </c>
      <c r="B440" s="3" t="s">
        <v>173</v>
      </c>
      <c r="C440" s="3" t="s">
        <v>200</v>
      </c>
      <c r="D440" s="3" t="s">
        <v>135</v>
      </c>
      <c r="E440" s="10">
        <f ca="1">TODAY()-2161</f>
        <v>42061</v>
      </c>
      <c r="F440" s="4" t="b">
        <v>1</v>
      </c>
      <c r="G440" s="11">
        <v>259000</v>
      </c>
      <c r="H440" s="12" t="s">
        <v>219</v>
      </c>
    </row>
    <row r="441" spans="1:8" x14ac:dyDescent="0.2">
      <c r="A441" s="9">
        <v>440</v>
      </c>
      <c r="B441" s="3" t="s">
        <v>120</v>
      </c>
      <c r="C441" s="3" t="s">
        <v>165</v>
      </c>
      <c r="D441" s="3" t="s">
        <v>131</v>
      </c>
      <c r="E441" s="10">
        <f ca="1">TODAY()-2163</f>
        <v>42059</v>
      </c>
      <c r="F441" s="4" t="b">
        <v>0</v>
      </c>
      <c r="G441" s="11">
        <v>246000</v>
      </c>
      <c r="H441" s="12" t="s">
        <v>217</v>
      </c>
    </row>
    <row r="442" spans="1:8" x14ac:dyDescent="0.2">
      <c r="A442" s="9">
        <v>441</v>
      </c>
      <c r="B442" s="3" t="s">
        <v>120</v>
      </c>
      <c r="C442" s="3" t="s">
        <v>170</v>
      </c>
      <c r="D442" s="3" t="s">
        <v>121</v>
      </c>
      <c r="E442" s="10">
        <f ca="1">TODAY()-2157</f>
        <v>42065</v>
      </c>
      <c r="F442" s="4" t="b">
        <v>1</v>
      </c>
      <c r="G442" s="11">
        <v>439800</v>
      </c>
      <c r="H442" s="12" t="s">
        <v>220</v>
      </c>
    </row>
    <row r="443" spans="1:8" x14ac:dyDescent="0.2">
      <c r="A443" s="9">
        <v>442</v>
      </c>
      <c r="B443" s="3" t="s">
        <v>139</v>
      </c>
      <c r="C443" s="3" t="s">
        <v>145</v>
      </c>
      <c r="D443" s="3" t="s">
        <v>124</v>
      </c>
      <c r="E443" s="10">
        <f ca="1">TODAY()-2150</f>
        <v>42072</v>
      </c>
      <c r="F443" s="4" t="b">
        <v>1</v>
      </c>
      <c r="G443" s="11">
        <v>252100</v>
      </c>
      <c r="H443" s="12" t="s">
        <v>217</v>
      </c>
    </row>
    <row r="444" spans="1:8" x14ac:dyDescent="0.2">
      <c r="A444" s="9">
        <v>443</v>
      </c>
      <c r="B444" s="3" t="s">
        <v>155</v>
      </c>
      <c r="C444" s="3" t="s">
        <v>164</v>
      </c>
      <c r="D444" s="3" t="s">
        <v>124</v>
      </c>
      <c r="E444" s="10">
        <f ca="1">TODAY()-2150</f>
        <v>42072</v>
      </c>
      <c r="F444" s="4" t="b">
        <v>0</v>
      </c>
      <c r="G444" s="11">
        <v>247000</v>
      </c>
      <c r="H444" s="12" t="s">
        <v>220</v>
      </c>
    </row>
    <row r="445" spans="1:8" x14ac:dyDescent="0.2">
      <c r="A445" s="9">
        <v>444</v>
      </c>
      <c r="B445" s="3" t="s">
        <v>158</v>
      </c>
      <c r="C445" s="3" t="s">
        <v>157</v>
      </c>
      <c r="D445" s="3" t="s">
        <v>127</v>
      </c>
      <c r="E445" s="10">
        <f ca="1">TODAY()-2146</f>
        <v>42076</v>
      </c>
      <c r="F445" s="4" t="b">
        <v>1</v>
      </c>
      <c r="G445" s="11">
        <v>959100</v>
      </c>
      <c r="H445" s="12" t="s">
        <v>219</v>
      </c>
    </row>
    <row r="446" spans="1:8" x14ac:dyDescent="0.2">
      <c r="A446" s="9">
        <v>445</v>
      </c>
      <c r="B446" s="3" t="s">
        <v>146</v>
      </c>
      <c r="C446" s="3" t="s">
        <v>198</v>
      </c>
      <c r="D446" s="3" t="s">
        <v>121</v>
      </c>
      <c r="E446" s="10">
        <f ca="1">TODAY()-2149</f>
        <v>42073</v>
      </c>
      <c r="F446" s="4" t="b">
        <v>0</v>
      </c>
      <c r="G446" s="11">
        <v>260800</v>
      </c>
      <c r="H446" s="12" t="s">
        <v>219</v>
      </c>
    </row>
    <row r="447" spans="1:8" x14ac:dyDescent="0.2">
      <c r="A447" s="9">
        <v>446</v>
      </c>
      <c r="B447" s="3" t="s">
        <v>158</v>
      </c>
      <c r="C447" s="3" t="s">
        <v>157</v>
      </c>
      <c r="D447" s="3" t="s">
        <v>127</v>
      </c>
      <c r="E447" s="10">
        <f ca="1">TODAY()-2141</f>
        <v>42081</v>
      </c>
      <c r="F447" s="4" t="b">
        <v>0</v>
      </c>
      <c r="G447" s="11">
        <v>267500</v>
      </c>
      <c r="H447" s="12" t="s">
        <v>219</v>
      </c>
    </row>
    <row r="448" spans="1:8" x14ac:dyDescent="0.2">
      <c r="A448" s="9">
        <v>447</v>
      </c>
      <c r="B448" s="3" t="s">
        <v>139</v>
      </c>
      <c r="C448" s="3" t="s">
        <v>145</v>
      </c>
      <c r="D448" s="3" t="s">
        <v>124</v>
      </c>
      <c r="E448" s="10">
        <f ca="1">TODAY()-2146</f>
        <v>42076</v>
      </c>
      <c r="F448" s="4" t="b">
        <v>0</v>
      </c>
      <c r="G448" s="11">
        <v>297500</v>
      </c>
      <c r="H448" s="12" t="s">
        <v>217</v>
      </c>
    </row>
    <row r="449" spans="1:8" x14ac:dyDescent="0.2">
      <c r="A449" s="9">
        <v>448</v>
      </c>
      <c r="B449" s="3" t="s">
        <v>150</v>
      </c>
      <c r="C449" s="3" t="s">
        <v>175</v>
      </c>
      <c r="D449" s="3" t="s">
        <v>121</v>
      </c>
      <c r="E449" s="10">
        <f ca="1">TODAY()-2141</f>
        <v>42081</v>
      </c>
      <c r="F449" s="4" t="b">
        <v>0</v>
      </c>
      <c r="G449" s="11">
        <v>264000</v>
      </c>
      <c r="H449" s="12" t="s">
        <v>220</v>
      </c>
    </row>
    <row r="450" spans="1:8" x14ac:dyDescent="0.2">
      <c r="A450" s="9">
        <v>449</v>
      </c>
      <c r="B450" s="3" t="s">
        <v>133</v>
      </c>
      <c r="C450" s="3" t="s">
        <v>132</v>
      </c>
      <c r="D450" s="3" t="s">
        <v>121</v>
      </c>
      <c r="E450" s="10">
        <f ca="1">TODAY()-2137</f>
        <v>42085</v>
      </c>
      <c r="F450" s="4" t="b">
        <v>0</v>
      </c>
      <c r="G450" s="11">
        <v>319800</v>
      </c>
      <c r="H450" s="12" t="s">
        <v>217</v>
      </c>
    </row>
    <row r="451" spans="1:8" x14ac:dyDescent="0.2">
      <c r="A451" s="9">
        <v>450</v>
      </c>
      <c r="B451" s="3" t="s">
        <v>143</v>
      </c>
      <c r="C451" s="3" t="s">
        <v>206</v>
      </c>
      <c r="D451" s="3" t="s">
        <v>135</v>
      </c>
      <c r="E451" s="10">
        <f ca="1">TODAY()-2142</f>
        <v>42080</v>
      </c>
      <c r="F451" s="4" t="b">
        <v>0</v>
      </c>
      <c r="G451" s="11">
        <v>809900</v>
      </c>
      <c r="H451" s="12" t="s">
        <v>219</v>
      </c>
    </row>
    <row r="452" spans="1:8" x14ac:dyDescent="0.2">
      <c r="A452" s="9">
        <v>451</v>
      </c>
      <c r="B452" s="3" t="s">
        <v>191</v>
      </c>
      <c r="C452" s="3" t="s">
        <v>204</v>
      </c>
      <c r="D452" s="3" t="s">
        <v>135</v>
      </c>
      <c r="E452" s="10">
        <f ca="1">TODAY()-2139</f>
        <v>42083</v>
      </c>
      <c r="F452" s="4" t="b">
        <v>0</v>
      </c>
      <c r="G452" s="11">
        <v>248900</v>
      </c>
      <c r="H452" s="12" t="s">
        <v>220</v>
      </c>
    </row>
    <row r="453" spans="1:8" x14ac:dyDescent="0.2">
      <c r="A453" s="9">
        <v>452</v>
      </c>
      <c r="B453" s="3" t="s">
        <v>120</v>
      </c>
      <c r="C453" s="3" t="s">
        <v>156</v>
      </c>
      <c r="D453" s="3" t="s">
        <v>121</v>
      </c>
      <c r="E453" s="10">
        <f ca="1">TODAY()-2137</f>
        <v>42085</v>
      </c>
      <c r="F453" s="4" t="b">
        <v>0</v>
      </c>
      <c r="G453" s="11">
        <v>290900</v>
      </c>
      <c r="H453" s="12" t="s">
        <v>220</v>
      </c>
    </row>
    <row r="454" spans="1:8" x14ac:dyDescent="0.2">
      <c r="A454" s="9">
        <v>453</v>
      </c>
      <c r="B454" s="3" t="s">
        <v>129</v>
      </c>
      <c r="C454" s="3" t="s">
        <v>159</v>
      </c>
      <c r="D454" s="3" t="s">
        <v>121</v>
      </c>
      <c r="E454" s="10">
        <f ca="1">TODAY()-2124</f>
        <v>42098</v>
      </c>
      <c r="F454" s="4" t="b">
        <v>1</v>
      </c>
      <c r="G454" s="11">
        <v>248100</v>
      </c>
      <c r="H454" s="12" t="s">
        <v>219</v>
      </c>
    </row>
    <row r="455" spans="1:8" x14ac:dyDescent="0.2">
      <c r="A455" s="9">
        <v>454</v>
      </c>
      <c r="B455" s="3" t="s">
        <v>155</v>
      </c>
      <c r="C455" s="3" t="s">
        <v>174</v>
      </c>
      <c r="D455" s="3" t="s">
        <v>131</v>
      </c>
      <c r="E455" s="10">
        <f ca="1">TODAY()-2131</f>
        <v>42091</v>
      </c>
      <c r="F455" s="4" t="b">
        <v>1</v>
      </c>
      <c r="G455" s="11">
        <v>725600</v>
      </c>
      <c r="H455" s="12" t="s">
        <v>220</v>
      </c>
    </row>
    <row r="456" spans="1:8" x14ac:dyDescent="0.2">
      <c r="A456" s="9">
        <v>455</v>
      </c>
      <c r="B456" s="3" t="s">
        <v>133</v>
      </c>
      <c r="C456" s="3" t="s">
        <v>153</v>
      </c>
      <c r="D456" s="3" t="s">
        <v>135</v>
      </c>
      <c r="E456" s="10">
        <f ca="1">TODAY()-2124</f>
        <v>42098</v>
      </c>
      <c r="F456" s="4" t="b">
        <v>0</v>
      </c>
      <c r="G456" s="11">
        <v>364800</v>
      </c>
      <c r="H456" s="12" t="s">
        <v>218</v>
      </c>
    </row>
    <row r="457" spans="1:8" x14ac:dyDescent="0.2">
      <c r="A457" s="9">
        <v>456</v>
      </c>
      <c r="B457" s="3" t="s">
        <v>155</v>
      </c>
      <c r="C457" s="3" t="s">
        <v>174</v>
      </c>
      <c r="D457" s="3" t="s">
        <v>131</v>
      </c>
      <c r="E457" s="10">
        <f ca="1">TODAY()-2114</f>
        <v>42108</v>
      </c>
      <c r="F457" s="4" t="b">
        <v>1</v>
      </c>
      <c r="G457" s="11">
        <v>362400</v>
      </c>
      <c r="H457" s="12" t="s">
        <v>220</v>
      </c>
    </row>
    <row r="458" spans="1:8" x14ac:dyDescent="0.2">
      <c r="A458" s="9">
        <v>457</v>
      </c>
      <c r="B458" s="3" t="s">
        <v>126</v>
      </c>
      <c r="C458" s="3" t="s">
        <v>125</v>
      </c>
      <c r="D458" s="3" t="s">
        <v>127</v>
      </c>
      <c r="E458" s="10">
        <f ca="1">TODAY()-2117</f>
        <v>42105</v>
      </c>
      <c r="F458" s="4" t="b">
        <v>0</v>
      </c>
      <c r="G458" s="11">
        <v>271900</v>
      </c>
      <c r="H458" s="12" t="s">
        <v>219</v>
      </c>
    </row>
    <row r="459" spans="1:8" x14ac:dyDescent="0.2">
      <c r="A459" s="9">
        <v>458</v>
      </c>
      <c r="B459" s="3" t="s">
        <v>150</v>
      </c>
      <c r="C459" s="3" t="s">
        <v>178</v>
      </c>
      <c r="D459" s="3" t="s">
        <v>121</v>
      </c>
      <c r="E459" s="10">
        <f ca="1">TODAY()-2099</f>
        <v>42123</v>
      </c>
      <c r="F459" s="4" t="b">
        <v>0</v>
      </c>
      <c r="G459" s="11">
        <v>279800</v>
      </c>
      <c r="H459" s="12" t="s">
        <v>219</v>
      </c>
    </row>
    <row r="460" spans="1:8" x14ac:dyDescent="0.2">
      <c r="A460" s="9">
        <v>459</v>
      </c>
      <c r="B460" s="3" t="s">
        <v>191</v>
      </c>
      <c r="C460" s="3" t="s">
        <v>199</v>
      </c>
      <c r="D460" s="3" t="s">
        <v>135</v>
      </c>
      <c r="E460" s="10">
        <f ca="1">TODAY()-2102</f>
        <v>42120</v>
      </c>
      <c r="F460" s="4" t="b">
        <v>1</v>
      </c>
      <c r="G460" s="11">
        <v>262400</v>
      </c>
      <c r="H460" s="12" t="s">
        <v>218</v>
      </c>
    </row>
    <row r="461" spans="1:8" x14ac:dyDescent="0.2">
      <c r="A461" s="9">
        <v>460</v>
      </c>
      <c r="B461" s="3" t="s">
        <v>139</v>
      </c>
      <c r="C461" s="3" t="s">
        <v>138</v>
      </c>
      <c r="D461" s="3" t="s">
        <v>135</v>
      </c>
      <c r="E461" s="10">
        <f ca="1">TODAY()-2084</f>
        <v>42138</v>
      </c>
      <c r="F461" s="4" t="b">
        <v>0</v>
      </c>
      <c r="G461" s="11">
        <v>288300</v>
      </c>
      <c r="H461" s="12" t="s">
        <v>220</v>
      </c>
    </row>
    <row r="462" spans="1:8" x14ac:dyDescent="0.2">
      <c r="A462" s="9">
        <v>461</v>
      </c>
      <c r="B462" s="3" t="s">
        <v>137</v>
      </c>
      <c r="C462" s="3" t="s">
        <v>151</v>
      </c>
      <c r="D462" s="3" t="s">
        <v>135</v>
      </c>
      <c r="E462" s="10">
        <f ca="1">TODAY()-2084</f>
        <v>42138</v>
      </c>
      <c r="F462" s="4" t="b">
        <v>1</v>
      </c>
      <c r="G462" s="11">
        <v>405200</v>
      </c>
      <c r="H462" s="12" t="s">
        <v>219</v>
      </c>
    </row>
    <row r="463" spans="1:8" x14ac:dyDescent="0.2">
      <c r="A463" s="9">
        <v>462</v>
      </c>
      <c r="B463" s="3" t="s">
        <v>139</v>
      </c>
      <c r="C463" s="3" t="s">
        <v>194</v>
      </c>
      <c r="D463" s="3" t="s">
        <v>121</v>
      </c>
      <c r="E463" s="10">
        <f ca="1">TODAY()-2088</f>
        <v>42134</v>
      </c>
      <c r="F463" s="4" t="b">
        <v>0</v>
      </c>
      <c r="G463" s="11">
        <v>238600</v>
      </c>
      <c r="H463" s="12" t="s">
        <v>217</v>
      </c>
    </row>
    <row r="464" spans="1:8" x14ac:dyDescent="0.2">
      <c r="A464" s="9">
        <v>463</v>
      </c>
      <c r="B464" s="3" t="s">
        <v>150</v>
      </c>
      <c r="C464" s="3" t="s">
        <v>152</v>
      </c>
      <c r="D464" s="3" t="s">
        <v>135</v>
      </c>
      <c r="E464" s="10">
        <f ca="1">TODAY()-2084</f>
        <v>42138</v>
      </c>
      <c r="F464" s="4" t="b">
        <v>0</v>
      </c>
      <c r="G464" s="11">
        <v>314700</v>
      </c>
      <c r="H464" s="12" t="s">
        <v>219</v>
      </c>
    </row>
    <row r="465" spans="1:8" x14ac:dyDescent="0.2">
      <c r="A465" s="9">
        <v>464</v>
      </c>
      <c r="B465" s="3" t="s">
        <v>129</v>
      </c>
      <c r="C465" s="3" t="s">
        <v>128</v>
      </c>
      <c r="D465" s="3" t="s">
        <v>124</v>
      </c>
      <c r="E465" s="10">
        <f ca="1">TODAY()-2083</f>
        <v>42139</v>
      </c>
      <c r="F465" s="4" t="b">
        <v>1</v>
      </c>
      <c r="G465" s="11">
        <v>828500</v>
      </c>
      <c r="H465" s="12" t="s">
        <v>217</v>
      </c>
    </row>
    <row r="466" spans="1:8" x14ac:dyDescent="0.2">
      <c r="A466" s="9">
        <v>465</v>
      </c>
      <c r="B466" s="3" t="s">
        <v>146</v>
      </c>
      <c r="C466" s="3" t="s">
        <v>201</v>
      </c>
      <c r="D466" s="3" t="s">
        <v>135</v>
      </c>
      <c r="E466" s="10">
        <f ca="1">TODAY()-2076</f>
        <v>42146</v>
      </c>
      <c r="F466" s="4" t="b">
        <v>1</v>
      </c>
      <c r="G466" s="11">
        <v>260900</v>
      </c>
      <c r="H466" s="12" t="s">
        <v>220</v>
      </c>
    </row>
    <row r="467" spans="1:8" x14ac:dyDescent="0.2">
      <c r="A467" s="9">
        <v>466</v>
      </c>
      <c r="B467" s="3" t="s">
        <v>126</v>
      </c>
      <c r="C467" s="3" t="s">
        <v>183</v>
      </c>
      <c r="D467" s="3" t="s">
        <v>127</v>
      </c>
      <c r="E467" s="10">
        <f ca="1">TODAY()-2079</f>
        <v>42143</v>
      </c>
      <c r="F467" s="4" t="b">
        <v>1</v>
      </c>
      <c r="G467" s="11">
        <v>936800</v>
      </c>
      <c r="H467" s="12" t="s">
        <v>218</v>
      </c>
    </row>
    <row r="468" spans="1:8" x14ac:dyDescent="0.2">
      <c r="A468" s="9">
        <v>467</v>
      </c>
      <c r="B468" s="3" t="s">
        <v>139</v>
      </c>
      <c r="C468" s="3" t="s">
        <v>145</v>
      </c>
      <c r="D468" s="3" t="s">
        <v>124</v>
      </c>
      <c r="E468" s="10">
        <f ca="1">TODAY()-2075</f>
        <v>42147</v>
      </c>
      <c r="F468" s="4" t="b">
        <v>1</v>
      </c>
      <c r="G468" s="11">
        <v>266800</v>
      </c>
      <c r="H468" s="12" t="s">
        <v>217</v>
      </c>
    </row>
    <row r="469" spans="1:8" x14ac:dyDescent="0.2">
      <c r="A469" s="9">
        <v>468</v>
      </c>
      <c r="B469" s="3" t="s">
        <v>129</v>
      </c>
      <c r="C469" s="3" t="s">
        <v>161</v>
      </c>
      <c r="D469" s="3" t="s">
        <v>121</v>
      </c>
      <c r="E469" s="10">
        <f ca="1">TODAY()-2074</f>
        <v>42148</v>
      </c>
      <c r="F469" s="4" t="b">
        <v>1</v>
      </c>
      <c r="G469" s="11">
        <v>379800</v>
      </c>
      <c r="H469" s="12" t="s">
        <v>218</v>
      </c>
    </row>
    <row r="470" spans="1:8" x14ac:dyDescent="0.2">
      <c r="A470" s="9">
        <v>469</v>
      </c>
      <c r="B470" s="3" t="s">
        <v>126</v>
      </c>
      <c r="C470" s="3" t="s">
        <v>125</v>
      </c>
      <c r="D470" s="3" t="s">
        <v>127</v>
      </c>
      <c r="E470" s="10">
        <f ca="1">TODAY()-2075</f>
        <v>42147</v>
      </c>
      <c r="F470" s="4" t="b">
        <v>0</v>
      </c>
      <c r="G470" s="11">
        <v>289400</v>
      </c>
      <c r="H470" s="12" t="s">
        <v>219</v>
      </c>
    </row>
    <row r="471" spans="1:8" x14ac:dyDescent="0.2">
      <c r="A471" s="9">
        <v>470</v>
      </c>
      <c r="B471" s="3" t="s">
        <v>143</v>
      </c>
      <c r="C471" s="3" t="s">
        <v>142</v>
      </c>
      <c r="D471" s="3" t="s">
        <v>121</v>
      </c>
      <c r="E471" s="10">
        <f ca="1">TODAY()-2072</f>
        <v>42150</v>
      </c>
      <c r="F471" s="4" t="b">
        <v>0</v>
      </c>
      <c r="G471" s="11">
        <v>284100</v>
      </c>
      <c r="H471" s="12" t="s">
        <v>220</v>
      </c>
    </row>
    <row r="472" spans="1:8" x14ac:dyDescent="0.2">
      <c r="A472" s="9">
        <v>471</v>
      </c>
      <c r="B472" s="3" t="s">
        <v>158</v>
      </c>
      <c r="C472" s="3" t="s">
        <v>184</v>
      </c>
      <c r="D472" s="3" t="s">
        <v>127</v>
      </c>
      <c r="E472" s="10">
        <f ca="1">TODAY()-2069</f>
        <v>42153</v>
      </c>
      <c r="F472" s="4" t="b">
        <v>1</v>
      </c>
      <c r="G472" s="11">
        <v>257300</v>
      </c>
      <c r="H472" s="12" t="s">
        <v>220</v>
      </c>
    </row>
    <row r="473" spans="1:8" x14ac:dyDescent="0.2">
      <c r="A473" s="9">
        <v>472</v>
      </c>
      <c r="B473" s="3" t="s">
        <v>148</v>
      </c>
      <c r="C473" s="3" t="s">
        <v>147</v>
      </c>
      <c r="D473" s="3" t="s">
        <v>121</v>
      </c>
      <c r="E473" s="10">
        <f ca="1">TODAY()-2071</f>
        <v>42151</v>
      </c>
      <c r="F473" s="4" t="b">
        <v>0</v>
      </c>
      <c r="G473" s="11">
        <v>494800</v>
      </c>
      <c r="H473" s="12" t="s">
        <v>218</v>
      </c>
    </row>
    <row r="474" spans="1:8" x14ac:dyDescent="0.2">
      <c r="A474" s="9">
        <v>473</v>
      </c>
      <c r="B474" s="3" t="s">
        <v>155</v>
      </c>
      <c r="C474" s="3" t="s">
        <v>164</v>
      </c>
      <c r="D474" s="3" t="s">
        <v>124</v>
      </c>
      <c r="E474" s="10">
        <f ca="1">TODAY()-2063</f>
        <v>42159</v>
      </c>
      <c r="F474" s="4" t="b">
        <v>0</v>
      </c>
      <c r="G474" s="11">
        <v>342900</v>
      </c>
      <c r="H474" s="12" t="s">
        <v>220</v>
      </c>
    </row>
    <row r="475" spans="1:8" x14ac:dyDescent="0.2">
      <c r="A475" s="9">
        <v>474</v>
      </c>
      <c r="B475" s="3" t="s">
        <v>155</v>
      </c>
      <c r="C475" s="3" t="s">
        <v>186</v>
      </c>
      <c r="D475" s="3" t="s">
        <v>135</v>
      </c>
      <c r="E475" s="10">
        <f ca="1">TODAY()-2063</f>
        <v>42159</v>
      </c>
      <c r="F475" s="4" t="b">
        <v>0</v>
      </c>
      <c r="G475" s="11">
        <v>285400</v>
      </c>
      <c r="H475" s="12" t="s">
        <v>219</v>
      </c>
    </row>
    <row r="476" spans="1:8" x14ac:dyDescent="0.2">
      <c r="A476" s="9">
        <v>475</v>
      </c>
      <c r="B476" s="3" t="s">
        <v>137</v>
      </c>
      <c r="C476" s="3" t="s">
        <v>151</v>
      </c>
      <c r="D476" s="3" t="s">
        <v>135</v>
      </c>
      <c r="E476" s="10">
        <f ca="1">TODAY()-2063</f>
        <v>42159</v>
      </c>
      <c r="F476" s="4" t="b">
        <v>0</v>
      </c>
      <c r="G476" s="11">
        <v>386300</v>
      </c>
      <c r="H476" s="12" t="s">
        <v>219</v>
      </c>
    </row>
    <row r="477" spans="1:8" x14ac:dyDescent="0.2">
      <c r="A477" s="9">
        <v>476</v>
      </c>
      <c r="B477" s="3" t="s">
        <v>191</v>
      </c>
      <c r="C477" s="3" t="s">
        <v>199</v>
      </c>
      <c r="D477" s="3" t="s">
        <v>135</v>
      </c>
      <c r="E477" s="10">
        <f ca="1">TODAY()-2050</f>
        <v>42172</v>
      </c>
      <c r="F477" s="4" t="b">
        <v>0</v>
      </c>
      <c r="G477" s="11">
        <v>236700</v>
      </c>
      <c r="H477" s="12" t="s">
        <v>218</v>
      </c>
    </row>
    <row r="478" spans="1:8" x14ac:dyDescent="0.2">
      <c r="A478" s="9">
        <v>477</v>
      </c>
      <c r="B478" s="3" t="s">
        <v>150</v>
      </c>
      <c r="C478" s="3" t="s">
        <v>168</v>
      </c>
      <c r="D478" s="3" t="s">
        <v>124</v>
      </c>
      <c r="E478" s="10">
        <f ca="1">TODAY()-2050</f>
        <v>42172</v>
      </c>
      <c r="F478" s="4" t="b">
        <v>1</v>
      </c>
      <c r="G478" s="11">
        <v>289200</v>
      </c>
      <c r="H478" s="12" t="s">
        <v>218</v>
      </c>
    </row>
    <row r="479" spans="1:8" x14ac:dyDescent="0.2">
      <c r="A479" s="9">
        <v>478</v>
      </c>
      <c r="B479" s="3" t="s">
        <v>139</v>
      </c>
      <c r="C479" s="3" t="s">
        <v>138</v>
      </c>
      <c r="D479" s="3" t="s">
        <v>135</v>
      </c>
      <c r="E479" s="10">
        <f ca="1">TODAY()-2054</f>
        <v>42168</v>
      </c>
      <c r="F479" s="4" t="b">
        <v>1</v>
      </c>
      <c r="G479" s="11">
        <v>283100</v>
      </c>
      <c r="H479" s="12" t="s">
        <v>220</v>
      </c>
    </row>
    <row r="480" spans="1:8" x14ac:dyDescent="0.2">
      <c r="A480" s="9">
        <v>479</v>
      </c>
      <c r="B480" s="3" t="s">
        <v>120</v>
      </c>
      <c r="C480" s="3" t="s">
        <v>195</v>
      </c>
      <c r="D480" s="3" t="s">
        <v>121</v>
      </c>
      <c r="E480" s="10">
        <f ca="1">TODAY()-2033</f>
        <v>42189</v>
      </c>
      <c r="F480" s="4" t="b">
        <v>1</v>
      </c>
      <c r="G480" s="11">
        <v>246700</v>
      </c>
      <c r="H480" s="12" t="s">
        <v>219</v>
      </c>
    </row>
    <row r="481" spans="1:8" x14ac:dyDescent="0.2">
      <c r="A481" s="9">
        <v>480</v>
      </c>
      <c r="B481" s="3" t="s">
        <v>150</v>
      </c>
      <c r="C481" s="3" t="s">
        <v>175</v>
      </c>
      <c r="D481" s="3" t="s">
        <v>121</v>
      </c>
      <c r="E481" s="10">
        <f ca="1">TODAY()-2031</f>
        <v>42191</v>
      </c>
      <c r="F481" s="4" t="b">
        <v>0</v>
      </c>
      <c r="G481" s="11">
        <v>331500</v>
      </c>
      <c r="H481" s="12" t="s">
        <v>220</v>
      </c>
    </row>
    <row r="482" spans="1:8" x14ac:dyDescent="0.2">
      <c r="A482" s="9">
        <v>481</v>
      </c>
      <c r="B482" s="3" t="s">
        <v>123</v>
      </c>
      <c r="C482" s="3" t="s">
        <v>122</v>
      </c>
      <c r="D482" s="3" t="s">
        <v>124</v>
      </c>
      <c r="E482" s="10">
        <f ca="1">TODAY()-2029</f>
        <v>42193</v>
      </c>
      <c r="F482" s="4" t="b">
        <v>0</v>
      </c>
      <c r="G482" s="11">
        <v>361400</v>
      </c>
      <c r="H482" s="12" t="s">
        <v>218</v>
      </c>
    </row>
    <row r="483" spans="1:8" x14ac:dyDescent="0.2">
      <c r="A483" s="9">
        <v>482</v>
      </c>
      <c r="B483" s="3" t="s">
        <v>123</v>
      </c>
      <c r="C483" s="3" t="s">
        <v>189</v>
      </c>
      <c r="D483" s="3" t="s">
        <v>121</v>
      </c>
      <c r="E483" s="10">
        <f ca="1">TODAY()-2032</f>
        <v>42190</v>
      </c>
      <c r="F483" s="4" t="b">
        <v>0</v>
      </c>
      <c r="G483" s="11">
        <v>250200</v>
      </c>
      <c r="H483" s="12" t="s">
        <v>218</v>
      </c>
    </row>
    <row r="484" spans="1:8" x14ac:dyDescent="0.2">
      <c r="A484" s="9">
        <v>483</v>
      </c>
      <c r="B484" s="3" t="s">
        <v>155</v>
      </c>
      <c r="C484" s="3" t="s">
        <v>193</v>
      </c>
      <c r="D484" s="3" t="s">
        <v>124</v>
      </c>
      <c r="E484" s="10">
        <f ca="1">TODAY()-2026</f>
        <v>42196</v>
      </c>
      <c r="F484" s="4" t="b">
        <v>1</v>
      </c>
      <c r="G484" s="11">
        <v>286700</v>
      </c>
      <c r="H484" s="12" t="s">
        <v>218</v>
      </c>
    </row>
    <row r="485" spans="1:8" x14ac:dyDescent="0.2">
      <c r="A485" s="9">
        <v>484</v>
      </c>
      <c r="B485" s="3" t="s">
        <v>133</v>
      </c>
      <c r="C485" s="3" t="s">
        <v>171</v>
      </c>
      <c r="D485" s="3" t="s">
        <v>131</v>
      </c>
      <c r="E485" s="10">
        <f ca="1">TODAY()-2012</f>
        <v>42210</v>
      </c>
      <c r="F485" s="4" t="b">
        <v>0</v>
      </c>
      <c r="G485" s="11">
        <v>295300</v>
      </c>
      <c r="H485" s="12" t="s">
        <v>217</v>
      </c>
    </row>
    <row r="486" spans="1:8" x14ac:dyDescent="0.2">
      <c r="A486" s="9">
        <v>485</v>
      </c>
      <c r="B486" s="3" t="s">
        <v>148</v>
      </c>
      <c r="C486" s="3" t="s">
        <v>210</v>
      </c>
      <c r="D486" s="3" t="s">
        <v>131</v>
      </c>
      <c r="E486" s="10">
        <f ca="1">TODAY()-2007</f>
        <v>42215</v>
      </c>
      <c r="F486" s="4" t="b">
        <v>0</v>
      </c>
      <c r="G486" s="11">
        <v>971500</v>
      </c>
      <c r="H486" s="12" t="s">
        <v>219</v>
      </c>
    </row>
    <row r="487" spans="1:8" x14ac:dyDescent="0.2">
      <c r="A487" s="9">
        <v>486</v>
      </c>
      <c r="B487" s="3" t="s">
        <v>191</v>
      </c>
      <c r="C487" s="3" t="s">
        <v>199</v>
      </c>
      <c r="D487" s="3" t="s">
        <v>135</v>
      </c>
      <c r="E487" s="10">
        <f ca="1">TODAY()-2002</f>
        <v>42220</v>
      </c>
      <c r="F487" s="4" t="b">
        <v>1</v>
      </c>
      <c r="G487" s="11">
        <v>257500</v>
      </c>
      <c r="H487" s="12" t="s">
        <v>218</v>
      </c>
    </row>
    <row r="488" spans="1:8" x14ac:dyDescent="0.2">
      <c r="A488" s="9">
        <v>487</v>
      </c>
      <c r="B488" s="3" t="s">
        <v>146</v>
      </c>
      <c r="C488" s="3" t="s">
        <v>177</v>
      </c>
      <c r="D488" s="3" t="s">
        <v>124</v>
      </c>
      <c r="E488" s="10">
        <f ca="1">TODAY()-2005</f>
        <v>42217</v>
      </c>
      <c r="F488" s="4" t="b">
        <v>0</v>
      </c>
      <c r="G488" s="13">
        <v>675100</v>
      </c>
      <c r="H488" s="12" t="s">
        <v>217</v>
      </c>
    </row>
    <row r="489" spans="1:8" x14ac:dyDescent="0.2">
      <c r="A489" s="9">
        <v>488</v>
      </c>
      <c r="B489" s="3" t="s">
        <v>158</v>
      </c>
      <c r="C489" s="3" t="s">
        <v>157</v>
      </c>
      <c r="D489" s="3" t="s">
        <v>127</v>
      </c>
      <c r="E489" s="10">
        <f ca="1">TODAY()-2003</f>
        <v>42219</v>
      </c>
      <c r="F489" s="4" t="b">
        <v>0</v>
      </c>
      <c r="G489" s="11">
        <v>953400</v>
      </c>
      <c r="H489" s="12" t="s">
        <v>219</v>
      </c>
    </row>
    <row r="490" spans="1:8" x14ac:dyDescent="0.2">
      <c r="A490" s="9">
        <v>489</v>
      </c>
      <c r="B490" s="3" t="s">
        <v>120</v>
      </c>
      <c r="C490" s="3" t="s">
        <v>195</v>
      </c>
      <c r="D490" s="3" t="s">
        <v>121</v>
      </c>
      <c r="E490" s="10">
        <f ca="1">TODAY()-1999</f>
        <v>42223</v>
      </c>
      <c r="F490" s="4" t="b">
        <v>1</v>
      </c>
      <c r="G490" s="11">
        <v>256100</v>
      </c>
      <c r="H490" s="12" t="s">
        <v>219</v>
      </c>
    </row>
    <row r="491" spans="1:8" x14ac:dyDescent="0.2">
      <c r="A491" s="9">
        <v>490</v>
      </c>
      <c r="B491" s="3" t="s">
        <v>158</v>
      </c>
      <c r="C491" s="3" t="s">
        <v>157</v>
      </c>
      <c r="D491" s="3" t="s">
        <v>127</v>
      </c>
      <c r="E491" s="10">
        <f ca="1">TODAY()-1997</f>
        <v>42225</v>
      </c>
      <c r="F491" s="4" t="b">
        <v>1</v>
      </c>
      <c r="G491" s="11">
        <v>272100</v>
      </c>
      <c r="H491" s="12" t="s">
        <v>219</v>
      </c>
    </row>
    <row r="492" spans="1:8" x14ac:dyDescent="0.2">
      <c r="A492" s="9">
        <v>491</v>
      </c>
      <c r="B492" s="3" t="s">
        <v>150</v>
      </c>
      <c r="C492" s="3" t="s">
        <v>175</v>
      </c>
      <c r="D492" s="3" t="s">
        <v>121</v>
      </c>
      <c r="E492" s="10">
        <f ca="1">TODAY()-1998</f>
        <v>42224</v>
      </c>
      <c r="F492" s="4" t="b">
        <v>1</v>
      </c>
      <c r="G492" s="11">
        <v>345800</v>
      </c>
      <c r="H492" s="12" t="s">
        <v>220</v>
      </c>
    </row>
    <row r="493" spans="1:8" x14ac:dyDescent="0.2">
      <c r="A493" s="9">
        <v>492</v>
      </c>
      <c r="B493" s="3" t="s">
        <v>155</v>
      </c>
      <c r="C493" s="3" t="s">
        <v>186</v>
      </c>
      <c r="D493" s="3" t="s">
        <v>135</v>
      </c>
      <c r="E493" s="10">
        <f ca="1">TODAY()-1993</f>
        <v>42229</v>
      </c>
      <c r="F493" s="4" t="b">
        <v>0</v>
      </c>
      <c r="G493" s="11">
        <v>426500</v>
      </c>
      <c r="H493" s="12" t="s">
        <v>219</v>
      </c>
    </row>
    <row r="494" spans="1:8" x14ac:dyDescent="0.2">
      <c r="A494" s="9">
        <v>493</v>
      </c>
      <c r="B494" s="3" t="s">
        <v>148</v>
      </c>
      <c r="C494" s="3" t="s">
        <v>210</v>
      </c>
      <c r="D494" s="3" t="s">
        <v>131</v>
      </c>
      <c r="E494" s="10">
        <f ca="1">TODAY()-1991</f>
        <v>42231</v>
      </c>
      <c r="F494" s="4" t="b">
        <v>0</v>
      </c>
      <c r="G494" s="11">
        <v>417000</v>
      </c>
      <c r="H494" s="12" t="s">
        <v>219</v>
      </c>
    </row>
    <row r="495" spans="1:8" x14ac:dyDescent="0.2">
      <c r="A495" s="9">
        <v>494</v>
      </c>
      <c r="B495" s="3" t="s">
        <v>129</v>
      </c>
      <c r="C495" s="3" t="s">
        <v>128</v>
      </c>
      <c r="D495" s="3" t="s">
        <v>124</v>
      </c>
      <c r="E495" s="10">
        <f ca="1">TODAY()-1987</f>
        <v>42235</v>
      </c>
      <c r="F495" s="4" t="b">
        <v>0</v>
      </c>
      <c r="G495" s="11">
        <v>290200</v>
      </c>
      <c r="H495" s="12" t="s">
        <v>217</v>
      </c>
    </row>
    <row r="496" spans="1:8" x14ac:dyDescent="0.2">
      <c r="A496" s="9">
        <v>495</v>
      </c>
      <c r="B496" s="3" t="s">
        <v>180</v>
      </c>
      <c r="C496" s="3" t="s">
        <v>179</v>
      </c>
      <c r="D496" s="3" t="s">
        <v>127</v>
      </c>
      <c r="E496" s="10">
        <f ca="1">TODAY()-1987</f>
        <v>42235</v>
      </c>
      <c r="F496" s="4" t="b">
        <v>0</v>
      </c>
      <c r="G496" s="11">
        <v>399900</v>
      </c>
      <c r="H496" s="12" t="s">
        <v>220</v>
      </c>
    </row>
    <row r="497" spans="1:8" x14ac:dyDescent="0.2">
      <c r="A497" s="9">
        <v>496</v>
      </c>
      <c r="B497" s="3" t="s">
        <v>120</v>
      </c>
      <c r="C497" s="3" t="s">
        <v>165</v>
      </c>
      <c r="D497" s="3" t="s">
        <v>131</v>
      </c>
      <c r="E497" s="10">
        <f ca="1">TODAY()-1988</f>
        <v>42234</v>
      </c>
      <c r="F497" s="4" t="b">
        <v>1</v>
      </c>
      <c r="G497" s="11">
        <v>235900</v>
      </c>
      <c r="H497" s="12" t="s">
        <v>217</v>
      </c>
    </row>
    <row r="498" spans="1:8" x14ac:dyDescent="0.2">
      <c r="A498" s="9">
        <v>497</v>
      </c>
      <c r="B498" s="3" t="s">
        <v>133</v>
      </c>
      <c r="C498" s="3" t="s">
        <v>208</v>
      </c>
      <c r="D498" s="3" t="s">
        <v>124</v>
      </c>
      <c r="E498" s="10">
        <f ca="1">TODAY()-1985</f>
        <v>42237</v>
      </c>
      <c r="F498" s="4" t="b">
        <v>0</v>
      </c>
      <c r="G498" s="11">
        <v>255500</v>
      </c>
      <c r="H498" s="12" t="s">
        <v>217</v>
      </c>
    </row>
    <row r="499" spans="1:8" x14ac:dyDescent="0.2">
      <c r="A499" s="9">
        <v>498</v>
      </c>
      <c r="B499" s="3" t="s">
        <v>155</v>
      </c>
      <c r="C499" s="3" t="s">
        <v>174</v>
      </c>
      <c r="D499" s="3" t="s">
        <v>131</v>
      </c>
      <c r="E499" s="10">
        <f ca="1">TODAY()-1979</f>
        <v>42243</v>
      </c>
      <c r="F499" s="4" t="b">
        <v>1</v>
      </c>
      <c r="G499" s="11">
        <v>259600</v>
      </c>
      <c r="H499" s="12" t="s">
        <v>220</v>
      </c>
    </row>
    <row r="500" spans="1:8" x14ac:dyDescent="0.2">
      <c r="A500" s="9">
        <v>499</v>
      </c>
      <c r="B500" s="3" t="s">
        <v>120</v>
      </c>
      <c r="C500" s="3" t="s">
        <v>170</v>
      </c>
      <c r="D500" s="3" t="s">
        <v>121</v>
      </c>
      <c r="E500" s="10">
        <f ca="1">TODAY()-1973</f>
        <v>42249</v>
      </c>
      <c r="F500" s="4" t="b">
        <v>0</v>
      </c>
      <c r="G500" s="13">
        <v>679100</v>
      </c>
      <c r="H500" s="12" t="s">
        <v>220</v>
      </c>
    </row>
    <row r="501" spans="1:8" x14ac:dyDescent="0.2">
      <c r="A501" s="9">
        <v>500</v>
      </c>
      <c r="B501" s="3" t="s">
        <v>137</v>
      </c>
      <c r="C501" s="3" t="s">
        <v>167</v>
      </c>
      <c r="D501" s="3" t="s">
        <v>135</v>
      </c>
      <c r="E501" s="10">
        <f ca="1">TODAY()-1970</f>
        <v>42252</v>
      </c>
      <c r="F501" s="4" t="b">
        <v>1</v>
      </c>
      <c r="G501" s="11">
        <v>272100</v>
      </c>
      <c r="H501" s="12" t="s">
        <v>218</v>
      </c>
    </row>
    <row r="502" spans="1:8" x14ac:dyDescent="0.2">
      <c r="A502" s="9">
        <v>501</v>
      </c>
      <c r="B502" s="3" t="s">
        <v>143</v>
      </c>
      <c r="C502" s="3" t="s">
        <v>206</v>
      </c>
      <c r="D502" s="3" t="s">
        <v>135</v>
      </c>
      <c r="E502" s="10">
        <f ca="1">TODAY()-1965</f>
        <v>42257</v>
      </c>
      <c r="F502" s="4" t="b">
        <v>0</v>
      </c>
      <c r="G502" s="11">
        <v>393200</v>
      </c>
      <c r="H502" s="12" t="s">
        <v>219</v>
      </c>
    </row>
    <row r="503" spans="1:8" x14ac:dyDescent="0.2">
      <c r="A503" s="9">
        <v>502</v>
      </c>
      <c r="B503" s="3" t="s">
        <v>129</v>
      </c>
      <c r="C503" s="3" t="s">
        <v>159</v>
      </c>
      <c r="D503" s="3" t="s">
        <v>121</v>
      </c>
      <c r="E503" s="10">
        <f ca="1">TODAY()-1960</f>
        <v>42262</v>
      </c>
      <c r="F503" s="4" t="b">
        <v>0</v>
      </c>
      <c r="G503" s="11">
        <v>406100</v>
      </c>
      <c r="H503" s="12" t="s">
        <v>219</v>
      </c>
    </row>
    <row r="504" spans="1:8" x14ac:dyDescent="0.2">
      <c r="A504" s="9">
        <v>503</v>
      </c>
      <c r="B504" s="3" t="s">
        <v>148</v>
      </c>
      <c r="C504" s="3" t="s">
        <v>147</v>
      </c>
      <c r="D504" s="3" t="s">
        <v>121</v>
      </c>
      <c r="E504" s="10">
        <f ca="1">TODAY()-1956</f>
        <v>42266</v>
      </c>
      <c r="F504" s="4" t="b">
        <v>0</v>
      </c>
      <c r="G504" s="11">
        <v>248100</v>
      </c>
      <c r="H504" s="12" t="s">
        <v>218</v>
      </c>
    </row>
    <row r="505" spans="1:8" x14ac:dyDescent="0.2">
      <c r="A505" s="9">
        <v>504</v>
      </c>
      <c r="B505" s="3" t="s">
        <v>146</v>
      </c>
      <c r="C505" s="3" t="s">
        <v>177</v>
      </c>
      <c r="D505" s="3" t="s">
        <v>124</v>
      </c>
      <c r="E505" s="10">
        <f ca="1">TODAY()-1960</f>
        <v>42262</v>
      </c>
      <c r="F505" s="4" t="b">
        <v>1</v>
      </c>
      <c r="G505" s="11">
        <v>286300</v>
      </c>
      <c r="H505" s="12" t="s">
        <v>217</v>
      </c>
    </row>
    <row r="506" spans="1:8" x14ac:dyDescent="0.2">
      <c r="A506" s="9">
        <v>505</v>
      </c>
      <c r="B506" s="3" t="s">
        <v>137</v>
      </c>
      <c r="C506" s="3" t="s">
        <v>169</v>
      </c>
      <c r="D506" s="3" t="s">
        <v>135</v>
      </c>
      <c r="E506" s="10">
        <f ca="1">TODAY()-1947</f>
        <v>42275</v>
      </c>
      <c r="F506" s="4" t="b">
        <v>0</v>
      </c>
      <c r="G506" s="11">
        <v>497300</v>
      </c>
      <c r="H506" s="12" t="s">
        <v>218</v>
      </c>
    </row>
    <row r="507" spans="1:8" x14ac:dyDescent="0.2">
      <c r="A507" s="9">
        <v>506</v>
      </c>
      <c r="B507" s="3" t="s">
        <v>146</v>
      </c>
      <c r="C507" s="3" t="s">
        <v>198</v>
      </c>
      <c r="D507" s="3" t="s">
        <v>121</v>
      </c>
      <c r="E507" s="10">
        <f ca="1">TODAY()-1946</f>
        <v>42276</v>
      </c>
      <c r="F507" s="4" t="b">
        <v>1</v>
      </c>
      <c r="G507" s="11">
        <v>350300</v>
      </c>
      <c r="H507" s="12" t="s">
        <v>219</v>
      </c>
    </row>
    <row r="508" spans="1:8" x14ac:dyDescent="0.2">
      <c r="A508" s="9">
        <v>507</v>
      </c>
      <c r="B508" s="3" t="s">
        <v>146</v>
      </c>
      <c r="C508" s="3" t="s">
        <v>198</v>
      </c>
      <c r="D508" s="3" t="s">
        <v>121</v>
      </c>
      <c r="E508" s="10">
        <f ca="1">TODAY()-1951</f>
        <v>42271</v>
      </c>
      <c r="F508" s="4" t="b">
        <v>1</v>
      </c>
      <c r="G508" s="11">
        <v>256000</v>
      </c>
      <c r="H508" s="12" t="s">
        <v>219</v>
      </c>
    </row>
    <row r="509" spans="1:8" x14ac:dyDescent="0.2">
      <c r="A509" s="9">
        <v>508</v>
      </c>
      <c r="B509" s="3" t="s">
        <v>191</v>
      </c>
      <c r="C509" s="3" t="s">
        <v>190</v>
      </c>
      <c r="D509" s="3" t="s">
        <v>124</v>
      </c>
      <c r="E509" s="10">
        <f ca="1">TODAY()-1947</f>
        <v>42275</v>
      </c>
      <c r="F509" s="4" t="b">
        <v>1</v>
      </c>
      <c r="G509" s="11">
        <v>858800</v>
      </c>
      <c r="H509" s="12" t="s">
        <v>217</v>
      </c>
    </row>
    <row r="510" spans="1:8" x14ac:dyDescent="0.2">
      <c r="A510" s="9">
        <v>509</v>
      </c>
      <c r="B510" s="3" t="s">
        <v>120</v>
      </c>
      <c r="C510" s="3" t="s">
        <v>165</v>
      </c>
      <c r="D510" s="3" t="s">
        <v>131</v>
      </c>
      <c r="E510" s="10">
        <f ca="1">TODAY()-1940</f>
        <v>42282</v>
      </c>
      <c r="F510" s="4" t="b">
        <v>1</v>
      </c>
      <c r="G510" s="11">
        <v>261200</v>
      </c>
      <c r="H510" s="12" t="s">
        <v>217</v>
      </c>
    </row>
    <row r="511" spans="1:8" x14ac:dyDescent="0.2">
      <c r="A511" s="9">
        <v>510</v>
      </c>
      <c r="B511" s="3" t="s">
        <v>133</v>
      </c>
      <c r="C511" s="3" t="s">
        <v>171</v>
      </c>
      <c r="D511" s="3" t="s">
        <v>131</v>
      </c>
      <c r="E511" s="10">
        <f ca="1">TODAY()-1932</f>
        <v>42290</v>
      </c>
      <c r="F511" s="4" t="b">
        <v>0</v>
      </c>
      <c r="G511" s="11">
        <v>367000</v>
      </c>
      <c r="H511" s="12" t="s">
        <v>217</v>
      </c>
    </row>
    <row r="512" spans="1:8" x14ac:dyDescent="0.2">
      <c r="A512" s="9">
        <v>511</v>
      </c>
      <c r="B512" s="3" t="s">
        <v>126</v>
      </c>
      <c r="C512" s="3" t="s">
        <v>183</v>
      </c>
      <c r="D512" s="3" t="s">
        <v>127</v>
      </c>
      <c r="E512" s="10">
        <f ca="1">TODAY()-1934</f>
        <v>42288</v>
      </c>
      <c r="F512" s="4" t="b">
        <v>0</v>
      </c>
      <c r="G512" s="11">
        <v>614200</v>
      </c>
      <c r="H512" s="12" t="s">
        <v>218</v>
      </c>
    </row>
    <row r="513" spans="1:8" x14ac:dyDescent="0.2">
      <c r="A513" s="9">
        <v>512</v>
      </c>
      <c r="B513" s="3" t="s">
        <v>173</v>
      </c>
      <c r="C513" s="3" t="s">
        <v>185</v>
      </c>
      <c r="D513" s="3" t="s">
        <v>131</v>
      </c>
      <c r="E513" s="10">
        <f ca="1">TODAY()-1937</f>
        <v>42285</v>
      </c>
      <c r="F513" s="4" t="b">
        <v>0</v>
      </c>
      <c r="G513" s="11">
        <v>257200</v>
      </c>
      <c r="H513" s="12" t="s">
        <v>217</v>
      </c>
    </row>
    <row r="514" spans="1:8" x14ac:dyDescent="0.2">
      <c r="A514" s="9">
        <v>513</v>
      </c>
      <c r="B514" s="3" t="s">
        <v>133</v>
      </c>
      <c r="C514" s="3" t="s">
        <v>211</v>
      </c>
      <c r="D514" s="3" t="s">
        <v>124</v>
      </c>
      <c r="E514" s="10">
        <f ca="1">TODAY()-1936</f>
        <v>42286</v>
      </c>
      <c r="F514" s="4" t="b">
        <v>0</v>
      </c>
      <c r="G514" s="11">
        <v>430400</v>
      </c>
      <c r="H514" s="12" t="s">
        <v>219</v>
      </c>
    </row>
    <row r="515" spans="1:8" x14ac:dyDescent="0.2">
      <c r="A515" s="9">
        <v>514</v>
      </c>
      <c r="B515" s="3" t="s">
        <v>129</v>
      </c>
      <c r="C515" s="3" t="s">
        <v>128</v>
      </c>
      <c r="D515" s="3" t="s">
        <v>124</v>
      </c>
      <c r="E515" s="10">
        <f ca="1">TODAY()-1929</f>
        <v>42293</v>
      </c>
      <c r="F515" s="4" t="b">
        <v>0</v>
      </c>
      <c r="G515" s="11">
        <v>285000</v>
      </c>
      <c r="H515" s="12" t="s">
        <v>217</v>
      </c>
    </row>
    <row r="516" spans="1:8" x14ac:dyDescent="0.2">
      <c r="A516" s="9">
        <v>515</v>
      </c>
      <c r="B516" s="3" t="s">
        <v>137</v>
      </c>
      <c r="C516" s="3" t="s">
        <v>151</v>
      </c>
      <c r="D516" s="3" t="s">
        <v>135</v>
      </c>
      <c r="E516" s="10">
        <f ca="1">TODAY()-1922</f>
        <v>42300</v>
      </c>
      <c r="F516" s="4" t="b">
        <v>1</v>
      </c>
      <c r="G516" s="11">
        <v>291000</v>
      </c>
      <c r="H516" s="12" t="s">
        <v>219</v>
      </c>
    </row>
    <row r="517" spans="1:8" x14ac:dyDescent="0.2">
      <c r="A517" s="9">
        <v>516</v>
      </c>
      <c r="B517" s="3" t="s">
        <v>143</v>
      </c>
      <c r="C517" s="3" t="s">
        <v>181</v>
      </c>
      <c r="D517" s="3" t="s">
        <v>121</v>
      </c>
      <c r="E517" s="10">
        <f ca="1">TODAY()-1922</f>
        <v>42300</v>
      </c>
      <c r="F517" s="4" t="b">
        <v>1</v>
      </c>
      <c r="G517" s="11">
        <v>298100</v>
      </c>
      <c r="H517" s="12" t="s">
        <v>218</v>
      </c>
    </row>
    <row r="518" spans="1:8" x14ac:dyDescent="0.2">
      <c r="A518" s="9">
        <v>517</v>
      </c>
      <c r="B518" s="3" t="s">
        <v>150</v>
      </c>
      <c r="C518" s="3" t="s">
        <v>152</v>
      </c>
      <c r="D518" s="3" t="s">
        <v>135</v>
      </c>
      <c r="E518" s="10">
        <f ca="1">TODAY()-1919</f>
        <v>42303</v>
      </c>
      <c r="F518" s="4" t="b">
        <v>0</v>
      </c>
      <c r="G518" s="11">
        <v>467800</v>
      </c>
      <c r="H518" s="12" t="s">
        <v>219</v>
      </c>
    </row>
    <row r="519" spans="1:8" x14ac:dyDescent="0.2">
      <c r="A519" s="9">
        <v>518</v>
      </c>
      <c r="B519" s="3" t="s">
        <v>150</v>
      </c>
      <c r="C519" s="3" t="s">
        <v>149</v>
      </c>
      <c r="D519" s="3" t="s">
        <v>124</v>
      </c>
      <c r="E519" s="10">
        <f ca="1">TODAY()-1910</f>
        <v>42312</v>
      </c>
      <c r="F519" s="4" t="b">
        <v>0</v>
      </c>
      <c r="G519" s="11">
        <v>637100</v>
      </c>
      <c r="H519" s="12" t="s">
        <v>217</v>
      </c>
    </row>
    <row r="520" spans="1:8" x14ac:dyDescent="0.2">
      <c r="A520" s="9">
        <v>519</v>
      </c>
      <c r="B520" s="3" t="s">
        <v>133</v>
      </c>
      <c r="C520" s="3" t="s">
        <v>132</v>
      </c>
      <c r="D520" s="3" t="s">
        <v>121</v>
      </c>
      <c r="E520" s="10">
        <f ca="1">TODAY()-1900</f>
        <v>42322</v>
      </c>
      <c r="F520" s="4" t="b">
        <v>1</v>
      </c>
      <c r="G520" s="11">
        <v>264300</v>
      </c>
      <c r="H520" s="12" t="s">
        <v>217</v>
      </c>
    </row>
    <row r="521" spans="1:8" x14ac:dyDescent="0.2">
      <c r="A521" s="9">
        <v>520</v>
      </c>
      <c r="B521" s="3" t="s">
        <v>180</v>
      </c>
      <c r="C521" s="3" t="s">
        <v>179</v>
      </c>
      <c r="D521" s="3" t="s">
        <v>127</v>
      </c>
      <c r="E521" s="10">
        <f ca="1">TODAY()-1892</f>
        <v>42330</v>
      </c>
      <c r="F521" s="4" t="b">
        <v>0</v>
      </c>
      <c r="G521" s="11">
        <v>282600</v>
      </c>
      <c r="H521" s="12" t="s">
        <v>220</v>
      </c>
    </row>
    <row r="522" spans="1:8" x14ac:dyDescent="0.2">
      <c r="A522" s="9">
        <v>521</v>
      </c>
      <c r="B522" s="3" t="s">
        <v>155</v>
      </c>
      <c r="C522" s="3" t="s">
        <v>193</v>
      </c>
      <c r="D522" s="3" t="s">
        <v>124</v>
      </c>
      <c r="E522" s="10">
        <f ca="1">TODAY()-1893</f>
        <v>42329</v>
      </c>
      <c r="F522" s="4" t="b">
        <v>1</v>
      </c>
      <c r="G522" s="11">
        <v>748700</v>
      </c>
      <c r="H522" s="12" t="s">
        <v>218</v>
      </c>
    </row>
    <row r="523" spans="1:8" x14ac:dyDescent="0.2">
      <c r="A523" s="9">
        <v>522</v>
      </c>
      <c r="B523" s="3" t="s">
        <v>133</v>
      </c>
      <c r="C523" s="3" t="s">
        <v>208</v>
      </c>
      <c r="D523" s="3" t="s">
        <v>124</v>
      </c>
      <c r="E523" s="10">
        <f ca="1">TODAY()-1886</f>
        <v>42336</v>
      </c>
      <c r="F523" s="4" t="b">
        <v>0</v>
      </c>
      <c r="G523" s="11">
        <v>259900</v>
      </c>
      <c r="H523" s="12" t="s">
        <v>217</v>
      </c>
    </row>
    <row r="524" spans="1:8" x14ac:dyDescent="0.2">
      <c r="A524" s="9">
        <v>523</v>
      </c>
      <c r="B524" s="3" t="s">
        <v>180</v>
      </c>
      <c r="C524" s="3" t="s">
        <v>179</v>
      </c>
      <c r="D524" s="3" t="s">
        <v>127</v>
      </c>
      <c r="E524" s="10">
        <f ca="1">TODAY()-1884</f>
        <v>42338</v>
      </c>
      <c r="F524" s="4" t="b">
        <v>0</v>
      </c>
      <c r="G524" s="11">
        <v>282800</v>
      </c>
      <c r="H524" s="12" t="s">
        <v>220</v>
      </c>
    </row>
    <row r="525" spans="1:8" x14ac:dyDescent="0.2">
      <c r="A525" s="9">
        <v>524</v>
      </c>
      <c r="B525" s="3" t="s">
        <v>155</v>
      </c>
      <c r="C525" s="3" t="s">
        <v>193</v>
      </c>
      <c r="D525" s="3" t="s">
        <v>124</v>
      </c>
      <c r="E525" s="10">
        <f ca="1">TODAY()-1866</f>
        <v>42356</v>
      </c>
      <c r="F525" s="4" t="b">
        <v>0</v>
      </c>
      <c r="G525" s="11">
        <v>906100</v>
      </c>
      <c r="H525" s="12" t="s">
        <v>218</v>
      </c>
    </row>
    <row r="526" spans="1:8" x14ac:dyDescent="0.2">
      <c r="A526" s="9">
        <v>525</v>
      </c>
      <c r="B526" s="3" t="s">
        <v>120</v>
      </c>
      <c r="C526" s="3" t="s">
        <v>170</v>
      </c>
      <c r="D526" s="3" t="s">
        <v>121</v>
      </c>
      <c r="E526" s="10">
        <f ca="1">TODAY()-1868</f>
        <v>42354</v>
      </c>
      <c r="F526" s="4" t="b">
        <v>0</v>
      </c>
      <c r="G526" s="11">
        <v>295600</v>
      </c>
      <c r="H526" s="12" t="s">
        <v>220</v>
      </c>
    </row>
    <row r="527" spans="1:8" x14ac:dyDescent="0.2">
      <c r="A527" s="9">
        <v>526</v>
      </c>
      <c r="B527" s="3" t="s">
        <v>146</v>
      </c>
      <c r="C527" s="3" t="s">
        <v>182</v>
      </c>
      <c r="D527" s="3" t="s">
        <v>121</v>
      </c>
      <c r="E527" s="10">
        <f ca="1">TODAY()-1864</f>
        <v>42358</v>
      </c>
      <c r="F527" s="4" t="b">
        <v>0</v>
      </c>
      <c r="G527" s="11">
        <v>379100</v>
      </c>
      <c r="H527" s="12" t="s">
        <v>218</v>
      </c>
    </row>
    <row r="528" spans="1:8" x14ac:dyDescent="0.2">
      <c r="A528" s="9">
        <v>527</v>
      </c>
      <c r="B528" s="3" t="s">
        <v>129</v>
      </c>
      <c r="C528" s="3" t="s">
        <v>134</v>
      </c>
      <c r="D528" s="3" t="s">
        <v>135</v>
      </c>
      <c r="E528" s="10">
        <f ca="1">TODAY()-1854</f>
        <v>42368</v>
      </c>
      <c r="F528" s="4" t="b">
        <v>0</v>
      </c>
      <c r="G528" s="11">
        <v>236600</v>
      </c>
      <c r="H528" s="12" t="s">
        <v>220</v>
      </c>
    </row>
    <row r="529" spans="1:8" x14ac:dyDescent="0.2">
      <c r="A529" s="9">
        <v>528</v>
      </c>
      <c r="B529" s="3" t="s">
        <v>150</v>
      </c>
      <c r="C529" s="3" t="s">
        <v>168</v>
      </c>
      <c r="D529" s="3" t="s">
        <v>124</v>
      </c>
      <c r="E529" s="10">
        <f ca="1">TODAY()-1855</f>
        <v>42367</v>
      </c>
      <c r="F529" s="4" t="b">
        <v>0</v>
      </c>
      <c r="G529" s="11">
        <v>287400</v>
      </c>
      <c r="H529" s="12" t="s">
        <v>218</v>
      </c>
    </row>
    <row r="530" spans="1:8" x14ac:dyDescent="0.2">
      <c r="A530" s="9">
        <v>529</v>
      </c>
      <c r="B530" s="3" t="s">
        <v>143</v>
      </c>
      <c r="C530" s="3" t="s">
        <v>142</v>
      </c>
      <c r="D530" s="3" t="s">
        <v>121</v>
      </c>
      <c r="E530" s="10">
        <f ca="1">TODAY()-1858</f>
        <v>42364</v>
      </c>
      <c r="F530" s="4" t="b">
        <v>0</v>
      </c>
      <c r="G530" s="11">
        <v>421500</v>
      </c>
      <c r="H530" s="12" t="s">
        <v>220</v>
      </c>
    </row>
    <row r="531" spans="1:8" x14ac:dyDescent="0.2">
      <c r="A531" s="9">
        <v>530</v>
      </c>
      <c r="B531" s="3" t="s">
        <v>146</v>
      </c>
      <c r="C531" s="3" t="s">
        <v>160</v>
      </c>
      <c r="D531" s="3" t="s">
        <v>121</v>
      </c>
      <c r="E531" s="10">
        <f ca="1">TODAY()-1856</f>
        <v>42366</v>
      </c>
      <c r="F531" s="4" t="b">
        <v>1</v>
      </c>
      <c r="G531" s="11">
        <v>476400</v>
      </c>
      <c r="H531" s="12" t="s">
        <v>218</v>
      </c>
    </row>
    <row r="532" spans="1:8" x14ac:dyDescent="0.2">
      <c r="A532" s="9">
        <v>531</v>
      </c>
      <c r="B532" s="3" t="s">
        <v>137</v>
      </c>
      <c r="C532" s="3" t="s">
        <v>167</v>
      </c>
      <c r="D532" s="3" t="s">
        <v>135</v>
      </c>
      <c r="E532" s="10">
        <f ca="1">TODAY()-1852</f>
        <v>42370</v>
      </c>
      <c r="F532" s="4" t="b">
        <v>0</v>
      </c>
      <c r="G532" s="11">
        <v>255100</v>
      </c>
      <c r="H532" s="12" t="s">
        <v>218</v>
      </c>
    </row>
    <row r="533" spans="1:8" x14ac:dyDescent="0.2">
      <c r="A533" s="9">
        <v>532</v>
      </c>
      <c r="B533" s="3" t="s">
        <v>133</v>
      </c>
      <c r="C533" s="3" t="s">
        <v>211</v>
      </c>
      <c r="D533" s="3" t="s">
        <v>124</v>
      </c>
      <c r="E533" s="10">
        <f ca="1">TODAY()-1850</f>
        <v>42372</v>
      </c>
      <c r="F533" s="4" t="b">
        <v>0</v>
      </c>
      <c r="G533" s="11">
        <v>278200</v>
      </c>
      <c r="H533" s="12" t="s">
        <v>219</v>
      </c>
    </row>
    <row r="534" spans="1:8" x14ac:dyDescent="0.2">
      <c r="A534" s="9">
        <v>533</v>
      </c>
      <c r="B534" s="3" t="s">
        <v>158</v>
      </c>
      <c r="C534" s="3" t="s">
        <v>184</v>
      </c>
      <c r="D534" s="3" t="s">
        <v>127</v>
      </c>
      <c r="E534" s="10">
        <f ca="1">TODAY()-1845</f>
        <v>42377</v>
      </c>
      <c r="F534" s="4" t="b">
        <v>0</v>
      </c>
      <c r="G534" s="11">
        <v>270600</v>
      </c>
      <c r="H534" s="12" t="s">
        <v>220</v>
      </c>
    </row>
    <row r="535" spans="1:8" x14ac:dyDescent="0.2">
      <c r="A535" s="9">
        <v>534</v>
      </c>
      <c r="B535" s="3" t="s">
        <v>191</v>
      </c>
      <c r="C535" s="3" t="s">
        <v>199</v>
      </c>
      <c r="D535" s="3" t="s">
        <v>135</v>
      </c>
      <c r="E535" s="10">
        <f ca="1">TODAY()-1834</f>
        <v>42388</v>
      </c>
      <c r="F535" s="4" t="b">
        <v>0</v>
      </c>
      <c r="G535" s="11">
        <v>287600</v>
      </c>
      <c r="H535" s="12" t="s">
        <v>218</v>
      </c>
    </row>
    <row r="536" spans="1:8" x14ac:dyDescent="0.2">
      <c r="A536" s="9">
        <v>535</v>
      </c>
      <c r="B536" s="3" t="s">
        <v>120</v>
      </c>
      <c r="C536" s="3" t="s">
        <v>156</v>
      </c>
      <c r="D536" s="3" t="s">
        <v>121</v>
      </c>
      <c r="E536" s="10">
        <f ca="1">TODAY()-1838</f>
        <v>42384</v>
      </c>
      <c r="F536" s="4" t="b">
        <v>1</v>
      </c>
      <c r="G536" s="11">
        <v>997000</v>
      </c>
      <c r="H536" s="12" t="s">
        <v>220</v>
      </c>
    </row>
    <row r="537" spans="1:8" x14ac:dyDescent="0.2">
      <c r="A537" s="9">
        <v>536</v>
      </c>
      <c r="B537" s="3" t="s">
        <v>129</v>
      </c>
      <c r="C537" s="3" t="s">
        <v>128</v>
      </c>
      <c r="D537" s="3" t="s">
        <v>124</v>
      </c>
      <c r="E537" s="10">
        <f ca="1">TODAY()-1835</f>
        <v>42387</v>
      </c>
      <c r="F537" s="4" t="b">
        <v>0</v>
      </c>
      <c r="G537" s="11">
        <v>286400</v>
      </c>
      <c r="H537" s="12" t="s">
        <v>217</v>
      </c>
    </row>
    <row r="538" spans="1:8" x14ac:dyDescent="0.2">
      <c r="A538" s="9">
        <v>537</v>
      </c>
      <c r="B538" s="3" t="s">
        <v>150</v>
      </c>
      <c r="C538" s="3" t="s">
        <v>178</v>
      </c>
      <c r="D538" s="3" t="s">
        <v>121</v>
      </c>
      <c r="E538" s="10">
        <f ca="1">TODAY()-1832</f>
        <v>42390</v>
      </c>
      <c r="F538" s="4" t="b">
        <v>1</v>
      </c>
      <c r="G538" s="11">
        <v>255300</v>
      </c>
      <c r="H538" s="12" t="s">
        <v>219</v>
      </c>
    </row>
    <row r="539" spans="1:8" x14ac:dyDescent="0.2">
      <c r="A539" s="9">
        <v>538</v>
      </c>
      <c r="B539" s="3" t="s">
        <v>139</v>
      </c>
      <c r="C539" s="3" t="s">
        <v>145</v>
      </c>
      <c r="D539" s="3" t="s">
        <v>124</v>
      </c>
      <c r="E539" s="10">
        <f ca="1">TODAY()-1829</f>
        <v>42393</v>
      </c>
      <c r="F539" s="4" t="b">
        <v>1</v>
      </c>
      <c r="G539" s="11">
        <v>495100</v>
      </c>
      <c r="H539" s="12" t="s">
        <v>217</v>
      </c>
    </row>
    <row r="540" spans="1:8" x14ac:dyDescent="0.2">
      <c r="A540" s="9">
        <v>539</v>
      </c>
      <c r="B540" s="3" t="s">
        <v>146</v>
      </c>
      <c r="C540" s="3" t="s">
        <v>177</v>
      </c>
      <c r="D540" s="3" t="s">
        <v>124</v>
      </c>
      <c r="E540" s="10">
        <f ca="1">TODAY()-1827</f>
        <v>42395</v>
      </c>
      <c r="F540" s="4" t="b">
        <v>0</v>
      </c>
      <c r="G540" s="11">
        <v>382200</v>
      </c>
      <c r="H540" s="12" t="s">
        <v>217</v>
      </c>
    </row>
    <row r="541" spans="1:8" x14ac:dyDescent="0.2">
      <c r="A541" s="9">
        <v>540</v>
      </c>
      <c r="B541" s="3" t="s">
        <v>191</v>
      </c>
      <c r="C541" s="3" t="s">
        <v>190</v>
      </c>
      <c r="D541" s="3" t="s">
        <v>124</v>
      </c>
      <c r="E541" s="10">
        <f ca="1">TODAY()-1834</f>
        <v>42388</v>
      </c>
      <c r="F541" s="4" t="b">
        <v>1</v>
      </c>
      <c r="G541" s="11">
        <v>235300</v>
      </c>
      <c r="H541" s="12" t="s">
        <v>217</v>
      </c>
    </row>
    <row r="542" spans="1:8" x14ac:dyDescent="0.2">
      <c r="A542" s="9">
        <v>541</v>
      </c>
      <c r="B542" s="3" t="s">
        <v>120</v>
      </c>
      <c r="C542" s="3" t="s">
        <v>119</v>
      </c>
      <c r="D542" s="3" t="s">
        <v>121</v>
      </c>
      <c r="E542" s="10">
        <f ca="1">TODAY()-1827</f>
        <v>42395</v>
      </c>
      <c r="F542" s="4" t="b">
        <v>0</v>
      </c>
      <c r="G542" s="11">
        <v>269100</v>
      </c>
      <c r="H542" s="12" t="s">
        <v>217</v>
      </c>
    </row>
    <row r="543" spans="1:8" x14ac:dyDescent="0.2">
      <c r="A543" s="9">
        <v>542</v>
      </c>
      <c r="B543" s="3" t="s">
        <v>137</v>
      </c>
      <c r="C543" s="3" t="s">
        <v>169</v>
      </c>
      <c r="D543" s="3" t="s">
        <v>135</v>
      </c>
      <c r="E543" s="10">
        <f ca="1">TODAY()-1827</f>
        <v>42395</v>
      </c>
      <c r="F543" s="4" t="b">
        <v>0</v>
      </c>
      <c r="G543" s="11">
        <v>300400</v>
      </c>
      <c r="H543" s="12" t="s">
        <v>218</v>
      </c>
    </row>
    <row r="544" spans="1:8" x14ac:dyDescent="0.2">
      <c r="A544" s="9">
        <v>543</v>
      </c>
      <c r="B544" s="3" t="s">
        <v>155</v>
      </c>
      <c r="C544" s="3" t="s">
        <v>193</v>
      </c>
      <c r="D544" s="3" t="s">
        <v>124</v>
      </c>
      <c r="E544" s="10">
        <f ca="1">TODAY()-1822</f>
        <v>42400</v>
      </c>
      <c r="F544" s="4" t="b">
        <v>0</v>
      </c>
      <c r="G544" s="11">
        <v>363000</v>
      </c>
      <c r="H544" s="12" t="s">
        <v>218</v>
      </c>
    </row>
    <row r="545" spans="1:8" x14ac:dyDescent="0.2">
      <c r="A545" s="9">
        <v>544</v>
      </c>
      <c r="B545" s="3" t="s">
        <v>139</v>
      </c>
      <c r="C545" s="3" t="s">
        <v>194</v>
      </c>
      <c r="D545" s="3" t="s">
        <v>121</v>
      </c>
      <c r="E545" s="10">
        <f ca="1">TODAY()-1822</f>
        <v>42400</v>
      </c>
      <c r="F545" s="4" t="b">
        <v>1</v>
      </c>
      <c r="G545" s="11">
        <v>613700</v>
      </c>
      <c r="H545" s="12" t="s">
        <v>217</v>
      </c>
    </row>
    <row r="546" spans="1:8" x14ac:dyDescent="0.2">
      <c r="A546" s="9">
        <v>545</v>
      </c>
      <c r="B546" s="3" t="s">
        <v>180</v>
      </c>
      <c r="C546" s="3" t="s">
        <v>179</v>
      </c>
      <c r="D546" s="3" t="s">
        <v>127</v>
      </c>
      <c r="E546" s="10">
        <f ca="1">TODAY()-1820</f>
        <v>42402</v>
      </c>
      <c r="F546" s="4" t="b">
        <v>0</v>
      </c>
      <c r="G546" s="11">
        <v>268000</v>
      </c>
      <c r="H546" s="12" t="s">
        <v>220</v>
      </c>
    </row>
    <row r="547" spans="1:8" x14ac:dyDescent="0.2">
      <c r="A547" s="9">
        <v>546</v>
      </c>
      <c r="B547" s="3" t="s">
        <v>173</v>
      </c>
      <c r="C547" s="3" t="s">
        <v>185</v>
      </c>
      <c r="D547" s="3" t="s">
        <v>131</v>
      </c>
      <c r="E547" s="10">
        <f ca="1">TODAY()-1808</f>
        <v>42414</v>
      </c>
      <c r="F547" s="4" t="b">
        <v>1</v>
      </c>
      <c r="G547" s="11">
        <v>273000</v>
      </c>
      <c r="H547" s="12" t="s">
        <v>217</v>
      </c>
    </row>
    <row r="548" spans="1:8" x14ac:dyDescent="0.2">
      <c r="A548" s="9">
        <v>547</v>
      </c>
      <c r="B548" s="3" t="s">
        <v>139</v>
      </c>
      <c r="C548" s="3" t="s">
        <v>176</v>
      </c>
      <c r="D548" s="3" t="s">
        <v>121</v>
      </c>
      <c r="E548" s="10">
        <f ca="1">TODAY()-1806</f>
        <v>42416</v>
      </c>
      <c r="F548" s="4" t="b">
        <v>1</v>
      </c>
      <c r="G548" s="11">
        <v>493400</v>
      </c>
      <c r="H548" s="12" t="s">
        <v>217</v>
      </c>
    </row>
    <row r="549" spans="1:8" x14ac:dyDescent="0.2">
      <c r="A549" s="9">
        <v>548</v>
      </c>
      <c r="B549" s="3" t="s">
        <v>197</v>
      </c>
      <c r="C549" s="3" t="s">
        <v>196</v>
      </c>
      <c r="D549" s="3" t="s">
        <v>124</v>
      </c>
      <c r="E549" s="10">
        <f ca="1">TODAY()-1809</f>
        <v>42413</v>
      </c>
      <c r="F549" s="4" t="b">
        <v>0</v>
      </c>
      <c r="G549" s="11">
        <v>277700</v>
      </c>
      <c r="H549" s="12" t="s">
        <v>219</v>
      </c>
    </row>
    <row r="550" spans="1:8" x14ac:dyDescent="0.2">
      <c r="A550" s="9">
        <v>549</v>
      </c>
      <c r="B550" s="3" t="s">
        <v>146</v>
      </c>
      <c r="C550" s="3" t="s">
        <v>182</v>
      </c>
      <c r="D550" s="3" t="s">
        <v>121</v>
      </c>
      <c r="E550" s="10">
        <f ca="1">TODAY()-1802</f>
        <v>42420</v>
      </c>
      <c r="F550" s="4" t="b">
        <v>1</v>
      </c>
      <c r="G550" s="11">
        <v>431100</v>
      </c>
      <c r="H550" s="12" t="s">
        <v>218</v>
      </c>
    </row>
    <row r="551" spans="1:8" x14ac:dyDescent="0.2">
      <c r="A551" s="9">
        <v>550</v>
      </c>
      <c r="B551" s="3" t="s">
        <v>146</v>
      </c>
      <c r="C551" s="3" t="s">
        <v>198</v>
      </c>
      <c r="D551" s="3" t="s">
        <v>121</v>
      </c>
      <c r="E551" s="10">
        <f ca="1">TODAY()-1803</f>
        <v>42419</v>
      </c>
      <c r="F551" s="4" t="b">
        <v>0</v>
      </c>
      <c r="G551" s="11">
        <v>239700</v>
      </c>
      <c r="H551" s="12" t="s">
        <v>219</v>
      </c>
    </row>
    <row r="552" spans="1:8" x14ac:dyDescent="0.2">
      <c r="A552" s="9">
        <v>551</v>
      </c>
      <c r="B552" s="3" t="s">
        <v>133</v>
      </c>
      <c r="C552" s="3" t="s">
        <v>171</v>
      </c>
      <c r="D552" s="3" t="s">
        <v>131</v>
      </c>
      <c r="E552" s="10">
        <f ca="1">TODAY()-1792</f>
        <v>42430</v>
      </c>
      <c r="F552" s="4" t="b">
        <v>1</v>
      </c>
      <c r="G552" s="11">
        <v>258400</v>
      </c>
      <c r="H552" s="12" t="s">
        <v>217</v>
      </c>
    </row>
    <row r="553" spans="1:8" x14ac:dyDescent="0.2">
      <c r="A553" s="9">
        <v>552</v>
      </c>
      <c r="B553" s="3" t="s">
        <v>191</v>
      </c>
      <c r="C553" s="3" t="s">
        <v>204</v>
      </c>
      <c r="D553" s="3" t="s">
        <v>135</v>
      </c>
      <c r="E553" s="10">
        <f ca="1">TODAY()-1780</f>
        <v>42442</v>
      </c>
      <c r="F553" s="4" t="b">
        <v>1</v>
      </c>
      <c r="G553" s="11">
        <v>648900</v>
      </c>
      <c r="H553" s="12" t="s">
        <v>220</v>
      </c>
    </row>
    <row r="554" spans="1:8" x14ac:dyDescent="0.2">
      <c r="A554" s="9">
        <v>553</v>
      </c>
      <c r="B554" s="3" t="s">
        <v>120</v>
      </c>
      <c r="C554" s="3" t="s">
        <v>170</v>
      </c>
      <c r="D554" s="3" t="s">
        <v>121</v>
      </c>
      <c r="E554" s="10">
        <f ca="1">TODAY()-1772</f>
        <v>42450</v>
      </c>
      <c r="F554" s="4" t="b">
        <v>0</v>
      </c>
      <c r="G554" s="11">
        <v>439900</v>
      </c>
      <c r="H554" s="12" t="s">
        <v>220</v>
      </c>
    </row>
    <row r="555" spans="1:8" x14ac:dyDescent="0.2">
      <c r="A555" s="9">
        <v>554</v>
      </c>
      <c r="B555" s="3" t="s">
        <v>180</v>
      </c>
      <c r="C555" s="3" t="s">
        <v>207</v>
      </c>
      <c r="D555" s="3" t="s">
        <v>127</v>
      </c>
      <c r="E555" s="10">
        <f ca="1">TODAY()-1769</f>
        <v>42453</v>
      </c>
      <c r="F555" s="4" t="b">
        <v>0</v>
      </c>
      <c r="G555" s="11">
        <v>481600</v>
      </c>
      <c r="H555" s="12" t="s">
        <v>220</v>
      </c>
    </row>
    <row r="556" spans="1:8" x14ac:dyDescent="0.2">
      <c r="A556" s="9">
        <v>555</v>
      </c>
      <c r="B556" s="3" t="s">
        <v>148</v>
      </c>
      <c r="C556" s="3" t="s">
        <v>187</v>
      </c>
      <c r="D556" s="3" t="s">
        <v>131</v>
      </c>
      <c r="E556" s="10">
        <f ca="1">TODAY()-1771</f>
        <v>42451</v>
      </c>
      <c r="F556" s="4" t="b">
        <v>0</v>
      </c>
      <c r="G556" s="11">
        <v>243200</v>
      </c>
      <c r="H556" s="12" t="s">
        <v>218</v>
      </c>
    </row>
    <row r="557" spans="1:8" x14ac:dyDescent="0.2">
      <c r="A557" s="9">
        <v>556</v>
      </c>
      <c r="B557" s="3" t="s">
        <v>139</v>
      </c>
      <c r="C557" s="3" t="s">
        <v>176</v>
      </c>
      <c r="D557" s="3" t="s">
        <v>121</v>
      </c>
      <c r="E557" s="10">
        <f ca="1">TODAY()-1763</f>
        <v>42459</v>
      </c>
      <c r="F557" s="4" t="b">
        <v>0</v>
      </c>
      <c r="G557" s="11">
        <v>335800</v>
      </c>
      <c r="H557" s="12" t="s">
        <v>217</v>
      </c>
    </row>
    <row r="558" spans="1:8" x14ac:dyDescent="0.2">
      <c r="A558" s="9">
        <v>557</v>
      </c>
      <c r="B558" s="3" t="s">
        <v>120</v>
      </c>
      <c r="C558" s="3" t="s">
        <v>170</v>
      </c>
      <c r="D558" s="3" t="s">
        <v>121</v>
      </c>
      <c r="E558" s="10">
        <f ca="1">TODAY()-1757</f>
        <v>42465</v>
      </c>
      <c r="F558" s="4" t="b">
        <v>1</v>
      </c>
      <c r="G558" s="11">
        <v>249100</v>
      </c>
      <c r="H558" s="12" t="s">
        <v>220</v>
      </c>
    </row>
    <row r="559" spans="1:8" x14ac:dyDescent="0.2">
      <c r="A559" s="9">
        <v>558</v>
      </c>
      <c r="B559" s="3" t="s">
        <v>129</v>
      </c>
      <c r="C559" s="3" t="s">
        <v>134</v>
      </c>
      <c r="D559" s="3" t="s">
        <v>135</v>
      </c>
      <c r="E559" s="10">
        <f ca="1">TODAY()-1758</f>
        <v>42464</v>
      </c>
      <c r="F559" s="4" t="b">
        <v>1</v>
      </c>
      <c r="G559" s="11">
        <v>249100</v>
      </c>
      <c r="H559" s="12" t="s">
        <v>220</v>
      </c>
    </row>
    <row r="560" spans="1:8" x14ac:dyDescent="0.2">
      <c r="A560" s="9">
        <v>559</v>
      </c>
      <c r="B560" s="3" t="s">
        <v>139</v>
      </c>
      <c r="C560" s="3" t="s">
        <v>194</v>
      </c>
      <c r="D560" s="3" t="s">
        <v>121</v>
      </c>
      <c r="E560" s="10">
        <f ca="1">TODAY()-1755</f>
        <v>42467</v>
      </c>
      <c r="F560" s="4" t="b">
        <v>0</v>
      </c>
      <c r="G560" s="11">
        <v>347900</v>
      </c>
      <c r="H560" s="12" t="s">
        <v>217</v>
      </c>
    </row>
    <row r="561" spans="1:8" x14ac:dyDescent="0.2">
      <c r="A561" s="9">
        <v>560</v>
      </c>
      <c r="B561" s="3" t="s">
        <v>129</v>
      </c>
      <c r="C561" s="3" t="s">
        <v>159</v>
      </c>
      <c r="D561" s="3" t="s">
        <v>121</v>
      </c>
      <c r="E561" s="10">
        <f ca="1">TODAY()-1748</f>
        <v>42474</v>
      </c>
      <c r="F561" s="4" t="b">
        <v>1</v>
      </c>
      <c r="G561" s="11">
        <v>406000</v>
      </c>
      <c r="H561" s="12" t="s">
        <v>219</v>
      </c>
    </row>
    <row r="562" spans="1:8" x14ac:dyDescent="0.2">
      <c r="A562" s="9">
        <v>561</v>
      </c>
      <c r="B562" s="3" t="s">
        <v>148</v>
      </c>
      <c r="C562" s="3" t="s">
        <v>187</v>
      </c>
      <c r="D562" s="3" t="s">
        <v>131</v>
      </c>
      <c r="E562" s="10">
        <f ca="1">TODAY()-1754</f>
        <v>42468</v>
      </c>
      <c r="F562" s="4" t="b">
        <v>1</v>
      </c>
      <c r="G562" s="11">
        <v>237400</v>
      </c>
      <c r="H562" s="12" t="s">
        <v>218</v>
      </c>
    </row>
    <row r="563" spans="1:8" x14ac:dyDescent="0.2">
      <c r="A563" s="9">
        <v>562</v>
      </c>
      <c r="B563" s="3" t="s">
        <v>123</v>
      </c>
      <c r="C563" s="3" t="s">
        <v>122</v>
      </c>
      <c r="D563" s="3" t="s">
        <v>124</v>
      </c>
      <c r="E563" s="10">
        <f ca="1">TODAY()-1739</f>
        <v>42483</v>
      </c>
      <c r="F563" s="4" t="b">
        <v>1</v>
      </c>
      <c r="G563" s="11">
        <v>289500</v>
      </c>
      <c r="H563" s="12" t="s">
        <v>218</v>
      </c>
    </row>
    <row r="564" spans="1:8" x14ac:dyDescent="0.2">
      <c r="A564" s="9">
        <v>563</v>
      </c>
      <c r="B564" s="3" t="s">
        <v>143</v>
      </c>
      <c r="C564" s="3" t="s">
        <v>142</v>
      </c>
      <c r="D564" s="3" t="s">
        <v>121</v>
      </c>
      <c r="E564" s="10">
        <f ca="1">TODAY()-1738</f>
        <v>42484</v>
      </c>
      <c r="F564" s="4" t="b">
        <v>0</v>
      </c>
      <c r="G564" s="11">
        <v>270600</v>
      </c>
      <c r="H564" s="12" t="s">
        <v>220</v>
      </c>
    </row>
    <row r="565" spans="1:8" x14ac:dyDescent="0.2">
      <c r="A565" s="9">
        <v>564</v>
      </c>
      <c r="B565" s="3" t="s">
        <v>129</v>
      </c>
      <c r="C565" s="3" t="s">
        <v>159</v>
      </c>
      <c r="D565" s="3" t="s">
        <v>121</v>
      </c>
      <c r="E565" s="10">
        <f ca="1">TODAY()-1734</f>
        <v>42488</v>
      </c>
      <c r="F565" s="4" t="b">
        <v>1</v>
      </c>
      <c r="G565" s="11">
        <v>284200</v>
      </c>
      <c r="H565" s="12" t="s">
        <v>219</v>
      </c>
    </row>
    <row r="566" spans="1:8" x14ac:dyDescent="0.2">
      <c r="A566" s="9">
        <v>565</v>
      </c>
      <c r="B566" s="3" t="s">
        <v>191</v>
      </c>
      <c r="C566" s="3" t="s">
        <v>199</v>
      </c>
      <c r="D566" s="3" t="s">
        <v>135</v>
      </c>
      <c r="E566" s="10">
        <f ca="1">TODAY()-1732</f>
        <v>42490</v>
      </c>
      <c r="F566" s="4" t="b">
        <v>0</v>
      </c>
      <c r="G566" s="11">
        <v>490900</v>
      </c>
      <c r="H566" s="12" t="s">
        <v>218</v>
      </c>
    </row>
    <row r="567" spans="1:8" x14ac:dyDescent="0.2">
      <c r="A567" s="9">
        <v>566</v>
      </c>
      <c r="B567" s="3" t="s">
        <v>133</v>
      </c>
      <c r="C567" s="3" t="s">
        <v>153</v>
      </c>
      <c r="D567" s="3" t="s">
        <v>135</v>
      </c>
      <c r="E567" s="10">
        <f ca="1">TODAY()-1734</f>
        <v>42488</v>
      </c>
      <c r="F567" s="4" t="b">
        <v>0</v>
      </c>
      <c r="G567" s="11">
        <v>284800</v>
      </c>
      <c r="H567" s="12" t="s">
        <v>218</v>
      </c>
    </row>
    <row r="568" spans="1:8" x14ac:dyDescent="0.2">
      <c r="A568" s="9">
        <v>567</v>
      </c>
      <c r="B568" s="3" t="s">
        <v>129</v>
      </c>
      <c r="C568" s="3" t="s">
        <v>130</v>
      </c>
      <c r="D568" s="3" t="s">
        <v>131</v>
      </c>
      <c r="E568" s="10">
        <f ca="1">TODAY()-1727</f>
        <v>42495</v>
      </c>
      <c r="F568" s="4" t="b">
        <v>1</v>
      </c>
      <c r="G568" s="11">
        <v>403100</v>
      </c>
      <c r="H568" s="12" t="s">
        <v>218</v>
      </c>
    </row>
    <row r="569" spans="1:8" x14ac:dyDescent="0.2">
      <c r="A569" s="9">
        <v>568</v>
      </c>
      <c r="B569" s="3" t="s">
        <v>120</v>
      </c>
      <c r="C569" s="3" t="s">
        <v>165</v>
      </c>
      <c r="D569" s="3" t="s">
        <v>131</v>
      </c>
      <c r="E569" s="10">
        <f ca="1">TODAY()-1717</f>
        <v>42505</v>
      </c>
      <c r="F569" s="4" t="b">
        <v>0</v>
      </c>
      <c r="G569" s="11">
        <v>258900</v>
      </c>
      <c r="H569" s="12" t="s">
        <v>217</v>
      </c>
    </row>
    <row r="570" spans="1:8" x14ac:dyDescent="0.2">
      <c r="A570" s="9">
        <v>569</v>
      </c>
      <c r="B570" s="3" t="s">
        <v>139</v>
      </c>
      <c r="C570" s="3" t="s">
        <v>194</v>
      </c>
      <c r="D570" s="3" t="s">
        <v>121</v>
      </c>
      <c r="E570" s="10">
        <f ca="1">TODAY()-1718</f>
        <v>42504</v>
      </c>
      <c r="F570" s="4" t="b">
        <v>1</v>
      </c>
      <c r="G570" s="11">
        <v>281300</v>
      </c>
      <c r="H570" s="12" t="s">
        <v>217</v>
      </c>
    </row>
    <row r="571" spans="1:8" x14ac:dyDescent="0.2">
      <c r="A571" s="9">
        <v>570</v>
      </c>
      <c r="B571" s="3" t="s">
        <v>120</v>
      </c>
      <c r="C571" s="3" t="s">
        <v>119</v>
      </c>
      <c r="D571" s="3" t="s">
        <v>121</v>
      </c>
      <c r="E571" s="10">
        <f ca="1">TODAY()-1715</f>
        <v>42507</v>
      </c>
      <c r="F571" s="4" t="b">
        <v>0</v>
      </c>
      <c r="G571" s="11">
        <v>236400</v>
      </c>
      <c r="H571" s="12" t="s">
        <v>217</v>
      </c>
    </row>
    <row r="572" spans="1:8" x14ac:dyDescent="0.2">
      <c r="A572" s="9">
        <v>571</v>
      </c>
      <c r="B572" s="3" t="s">
        <v>120</v>
      </c>
      <c r="C572" s="3" t="s">
        <v>205</v>
      </c>
      <c r="D572" s="3" t="s">
        <v>131</v>
      </c>
      <c r="E572" s="10">
        <f ca="1">TODAY()-1714</f>
        <v>42508</v>
      </c>
      <c r="F572" s="4" t="b">
        <v>1</v>
      </c>
      <c r="G572" s="11">
        <v>274600</v>
      </c>
      <c r="H572" s="12" t="s">
        <v>219</v>
      </c>
    </row>
    <row r="573" spans="1:8" x14ac:dyDescent="0.2">
      <c r="A573" s="9">
        <v>572</v>
      </c>
      <c r="B573" s="3" t="s">
        <v>139</v>
      </c>
      <c r="C573" s="3" t="s">
        <v>194</v>
      </c>
      <c r="D573" s="3" t="s">
        <v>121</v>
      </c>
      <c r="E573" s="10">
        <f ca="1">TODAY()-1713</f>
        <v>42509</v>
      </c>
      <c r="F573" s="4" t="b">
        <v>1</v>
      </c>
      <c r="G573" s="11">
        <v>942600</v>
      </c>
      <c r="H573" s="12" t="s">
        <v>217</v>
      </c>
    </row>
    <row r="574" spans="1:8" x14ac:dyDescent="0.2">
      <c r="A574" s="9">
        <v>573</v>
      </c>
      <c r="B574" s="3" t="s">
        <v>123</v>
      </c>
      <c r="C574" s="3" t="s">
        <v>122</v>
      </c>
      <c r="D574" s="3" t="s">
        <v>124</v>
      </c>
      <c r="E574" s="10">
        <f ca="1">TODAY()-1704</f>
        <v>42518</v>
      </c>
      <c r="F574" s="4" t="b">
        <v>1</v>
      </c>
      <c r="G574" s="11">
        <v>243700</v>
      </c>
      <c r="H574" s="12" t="s">
        <v>218</v>
      </c>
    </row>
    <row r="575" spans="1:8" x14ac:dyDescent="0.2">
      <c r="A575" s="9">
        <v>574</v>
      </c>
      <c r="B575" s="3" t="s">
        <v>150</v>
      </c>
      <c r="C575" s="3" t="s">
        <v>149</v>
      </c>
      <c r="D575" s="3" t="s">
        <v>124</v>
      </c>
      <c r="E575" s="10">
        <f ca="1">TODAY()-1710</f>
        <v>42512</v>
      </c>
      <c r="F575" s="4" t="b">
        <v>0</v>
      </c>
      <c r="G575" s="11">
        <v>805900</v>
      </c>
      <c r="H575" s="12" t="s">
        <v>217</v>
      </c>
    </row>
    <row r="576" spans="1:8" x14ac:dyDescent="0.2">
      <c r="A576" s="9">
        <v>575</v>
      </c>
      <c r="B576" s="3" t="s">
        <v>150</v>
      </c>
      <c r="C576" s="3" t="s">
        <v>149</v>
      </c>
      <c r="D576" s="3" t="s">
        <v>124</v>
      </c>
      <c r="E576" s="10">
        <f ca="1">TODAY()-1702</f>
        <v>42520</v>
      </c>
      <c r="F576" s="4" t="b">
        <v>1</v>
      </c>
      <c r="G576" s="11">
        <v>481500</v>
      </c>
      <c r="H576" s="12" t="s">
        <v>217</v>
      </c>
    </row>
    <row r="577" spans="1:8" x14ac:dyDescent="0.2">
      <c r="A577" s="9">
        <v>576</v>
      </c>
      <c r="B577" s="3" t="s">
        <v>129</v>
      </c>
      <c r="C577" s="3" t="s">
        <v>128</v>
      </c>
      <c r="D577" s="3" t="s">
        <v>124</v>
      </c>
      <c r="E577" s="10">
        <f ca="1">TODAY()-1697</f>
        <v>42525</v>
      </c>
      <c r="F577" s="4" t="b">
        <v>1</v>
      </c>
      <c r="G577" s="11">
        <v>267500</v>
      </c>
      <c r="H577" s="12" t="s">
        <v>217</v>
      </c>
    </row>
    <row r="578" spans="1:8" x14ac:dyDescent="0.2">
      <c r="A578" s="9">
        <v>577</v>
      </c>
      <c r="B578" s="3" t="s">
        <v>133</v>
      </c>
      <c r="C578" s="3" t="s">
        <v>153</v>
      </c>
      <c r="D578" s="3" t="s">
        <v>135</v>
      </c>
      <c r="E578" s="10">
        <f ca="1">TODAY()-1686</f>
        <v>42536</v>
      </c>
      <c r="F578" s="4" t="b">
        <v>0</v>
      </c>
      <c r="G578" s="11">
        <v>431800</v>
      </c>
      <c r="H578" s="12" t="s">
        <v>218</v>
      </c>
    </row>
    <row r="579" spans="1:8" x14ac:dyDescent="0.2">
      <c r="A579" s="9">
        <v>578</v>
      </c>
      <c r="B579" s="3" t="s">
        <v>173</v>
      </c>
      <c r="C579" s="3" t="s">
        <v>200</v>
      </c>
      <c r="D579" s="3" t="s">
        <v>135</v>
      </c>
      <c r="E579" s="10">
        <f ca="1">TODAY()-1688</f>
        <v>42534</v>
      </c>
      <c r="F579" s="4" t="b">
        <v>1</v>
      </c>
      <c r="G579" s="11">
        <v>240900</v>
      </c>
      <c r="H579" s="12" t="s">
        <v>219</v>
      </c>
    </row>
    <row r="580" spans="1:8" x14ac:dyDescent="0.2">
      <c r="A580" s="9">
        <v>579</v>
      </c>
      <c r="B580" s="3" t="s">
        <v>197</v>
      </c>
      <c r="C580" s="3" t="s">
        <v>202</v>
      </c>
      <c r="D580" s="3" t="s">
        <v>135</v>
      </c>
      <c r="E580" s="10">
        <f ca="1">TODAY()-1683</f>
        <v>42539</v>
      </c>
      <c r="F580" s="4" t="b">
        <v>0</v>
      </c>
      <c r="G580" s="11">
        <v>256900</v>
      </c>
      <c r="H580" s="12" t="s">
        <v>217</v>
      </c>
    </row>
    <row r="581" spans="1:8" x14ac:dyDescent="0.2">
      <c r="A581" s="9">
        <v>580</v>
      </c>
      <c r="B581" s="3" t="s">
        <v>150</v>
      </c>
      <c r="C581" s="3" t="s">
        <v>136</v>
      </c>
      <c r="D581" s="3" t="s">
        <v>124</v>
      </c>
      <c r="E581" s="10">
        <f ca="1">TODAY()-1680</f>
        <v>42542</v>
      </c>
      <c r="F581" s="4" t="b">
        <v>0</v>
      </c>
      <c r="G581" s="11">
        <v>678400</v>
      </c>
      <c r="H581" s="12" t="s">
        <v>220</v>
      </c>
    </row>
    <row r="582" spans="1:8" x14ac:dyDescent="0.2">
      <c r="A582" s="9">
        <v>581</v>
      </c>
      <c r="B582" s="3" t="s">
        <v>139</v>
      </c>
      <c r="C582" s="3" t="s">
        <v>192</v>
      </c>
      <c r="D582" s="3" t="s">
        <v>121</v>
      </c>
      <c r="E582" s="10">
        <f ca="1">TODAY()-1678</f>
        <v>42544</v>
      </c>
      <c r="F582" s="4" t="b">
        <v>0</v>
      </c>
      <c r="G582" s="13">
        <v>697800</v>
      </c>
      <c r="H582" s="12" t="s">
        <v>219</v>
      </c>
    </row>
    <row r="583" spans="1:8" x14ac:dyDescent="0.2">
      <c r="A583" s="9">
        <v>582</v>
      </c>
      <c r="B583" s="3" t="s">
        <v>150</v>
      </c>
      <c r="C583" s="3" t="s">
        <v>168</v>
      </c>
      <c r="D583" s="3" t="s">
        <v>124</v>
      </c>
      <c r="E583" s="10">
        <f ca="1">TODAY()-1678</f>
        <v>42544</v>
      </c>
      <c r="F583" s="4" t="b">
        <v>0</v>
      </c>
      <c r="G583" s="11">
        <v>263000</v>
      </c>
      <c r="H583" s="12" t="s">
        <v>218</v>
      </c>
    </row>
    <row r="584" spans="1:8" x14ac:dyDescent="0.2">
      <c r="A584" s="9">
        <v>583</v>
      </c>
      <c r="B584" s="3" t="s">
        <v>133</v>
      </c>
      <c r="C584" s="3" t="s">
        <v>208</v>
      </c>
      <c r="D584" s="3" t="s">
        <v>124</v>
      </c>
      <c r="E584" s="10">
        <f ca="1">TODAY()-1666</f>
        <v>42556</v>
      </c>
      <c r="F584" s="4" t="b">
        <v>0</v>
      </c>
      <c r="G584" s="11">
        <v>451700</v>
      </c>
      <c r="H584" s="12" t="s">
        <v>217</v>
      </c>
    </row>
    <row r="585" spans="1:8" x14ac:dyDescent="0.2">
      <c r="A585" s="9">
        <v>584</v>
      </c>
      <c r="B585" s="3" t="s">
        <v>180</v>
      </c>
      <c r="C585" s="3" t="s">
        <v>207</v>
      </c>
      <c r="D585" s="3" t="s">
        <v>127</v>
      </c>
      <c r="E585" s="10">
        <f ca="1">TODAY()-1664</f>
        <v>42558</v>
      </c>
      <c r="F585" s="4" t="b">
        <v>0</v>
      </c>
      <c r="G585" s="11">
        <v>275500</v>
      </c>
      <c r="H585" s="12" t="s">
        <v>220</v>
      </c>
    </row>
    <row r="586" spans="1:8" x14ac:dyDescent="0.2">
      <c r="A586" s="9">
        <v>585</v>
      </c>
      <c r="B586" s="3" t="s">
        <v>197</v>
      </c>
      <c r="C586" s="3" t="s">
        <v>196</v>
      </c>
      <c r="D586" s="3" t="s">
        <v>124</v>
      </c>
      <c r="E586" s="10">
        <f ca="1">TODAY()-1661</f>
        <v>42561</v>
      </c>
      <c r="F586" s="4" t="b">
        <v>0</v>
      </c>
      <c r="G586" s="11">
        <v>471900</v>
      </c>
      <c r="H586" s="12" t="s">
        <v>219</v>
      </c>
    </row>
    <row r="587" spans="1:8" x14ac:dyDescent="0.2">
      <c r="A587" s="9">
        <v>586</v>
      </c>
      <c r="B587" s="3" t="s">
        <v>120</v>
      </c>
      <c r="C587" s="3" t="s">
        <v>205</v>
      </c>
      <c r="D587" s="3" t="s">
        <v>131</v>
      </c>
      <c r="E587" s="10">
        <f ca="1">TODAY()-1665</f>
        <v>42557</v>
      </c>
      <c r="F587" s="4" t="b">
        <v>0</v>
      </c>
      <c r="G587" s="11">
        <v>368700</v>
      </c>
      <c r="H587" s="12" t="s">
        <v>219</v>
      </c>
    </row>
    <row r="588" spans="1:8" x14ac:dyDescent="0.2">
      <c r="A588" s="9">
        <v>587</v>
      </c>
      <c r="B588" s="3" t="s">
        <v>137</v>
      </c>
      <c r="C588" s="3" t="s">
        <v>169</v>
      </c>
      <c r="D588" s="3" t="s">
        <v>135</v>
      </c>
      <c r="E588" s="10">
        <f ca="1">TODAY()-1656</f>
        <v>42566</v>
      </c>
      <c r="F588" s="4" t="b">
        <v>1</v>
      </c>
      <c r="G588" s="11">
        <v>1079300</v>
      </c>
      <c r="H588" s="12" t="s">
        <v>218</v>
      </c>
    </row>
    <row r="589" spans="1:8" x14ac:dyDescent="0.2">
      <c r="A589" s="9">
        <v>588</v>
      </c>
      <c r="B589" s="3" t="s">
        <v>146</v>
      </c>
      <c r="C589" s="3" t="s">
        <v>182</v>
      </c>
      <c r="D589" s="3" t="s">
        <v>121</v>
      </c>
      <c r="E589" s="10">
        <f ca="1">TODAY()-1648</f>
        <v>42574</v>
      </c>
      <c r="F589" s="4" t="b">
        <v>0</v>
      </c>
      <c r="G589" s="11">
        <v>293000</v>
      </c>
      <c r="H589" s="12" t="s">
        <v>218</v>
      </c>
    </row>
    <row r="590" spans="1:8" x14ac:dyDescent="0.2">
      <c r="A590" s="9">
        <v>589</v>
      </c>
      <c r="B590" s="3" t="s">
        <v>133</v>
      </c>
      <c r="C590" s="3" t="s">
        <v>132</v>
      </c>
      <c r="D590" s="3" t="s">
        <v>121</v>
      </c>
      <c r="E590" s="10">
        <f ca="1">TODAY()-1642</f>
        <v>42580</v>
      </c>
      <c r="F590" s="4" t="b">
        <v>1</v>
      </c>
      <c r="G590" s="11">
        <v>246300</v>
      </c>
      <c r="H590" s="12" t="s">
        <v>217</v>
      </c>
    </row>
    <row r="591" spans="1:8" x14ac:dyDescent="0.2">
      <c r="A591" s="9">
        <v>590</v>
      </c>
      <c r="B591" s="3" t="s">
        <v>197</v>
      </c>
      <c r="C591" s="3" t="s">
        <v>202</v>
      </c>
      <c r="D591" s="3" t="s">
        <v>135</v>
      </c>
      <c r="E591" s="10">
        <f ca="1">TODAY()-1648</f>
        <v>42574</v>
      </c>
      <c r="F591" s="4" t="b">
        <v>0</v>
      </c>
      <c r="G591" s="11">
        <v>1088100</v>
      </c>
      <c r="H591" s="12" t="s">
        <v>217</v>
      </c>
    </row>
    <row r="592" spans="1:8" x14ac:dyDescent="0.2">
      <c r="A592" s="9">
        <v>591</v>
      </c>
      <c r="B592" s="3" t="s">
        <v>120</v>
      </c>
      <c r="C592" s="3" t="s">
        <v>119</v>
      </c>
      <c r="D592" s="3" t="s">
        <v>121</v>
      </c>
      <c r="E592" s="10">
        <f ca="1">TODAY()-1639</f>
        <v>42583</v>
      </c>
      <c r="F592" s="4" t="b">
        <v>1</v>
      </c>
      <c r="G592" s="11">
        <v>313900</v>
      </c>
      <c r="H592" s="12" t="s">
        <v>217</v>
      </c>
    </row>
    <row r="593" spans="1:8" x14ac:dyDescent="0.2">
      <c r="A593" s="9">
        <v>592</v>
      </c>
      <c r="B593" s="3" t="s">
        <v>148</v>
      </c>
      <c r="C593" s="3" t="s">
        <v>172</v>
      </c>
      <c r="D593" s="3" t="s">
        <v>121</v>
      </c>
      <c r="E593" s="10">
        <f ca="1">TODAY()-1632</f>
        <v>42590</v>
      </c>
      <c r="F593" s="4" t="b">
        <v>0</v>
      </c>
      <c r="G593" s="11">
        <v>283600</v>
      </c>
      <c r="H593" s="12" t="s">
        <v>218</v>
      </c>
    </row>
    <row r="594" spans="1:8" x14ac:dyDescent="0.2">
      <c r="A594" s="9">
        <v>593</v>
      </c>
      <c r="B594" s="3" t="s">
        <v>123</v>
      </c>
      <c r="C594" s="3" t="s">
        <v>189</v>
      </c>
      <c r="D594" s="3" t="s">
        <v>121</v>
      </c>
      <c r="E594" s="10">
        <f ca="1">TODAY()-1636</f>
        <v>42586</v>
      </c>
      <c r="F594" s="4" t="b">
        <v>0</v>
      </c>
      <c r="G594" s="11">
        <v>302000</v>
      </c>
      <c r="H594" s="12" t="s">
        <v>218</v>
      </c>
    </row>
    <row r="595" spans="1:8" x14ac:dyDescent="0.2">
      <c r="A595" s="9">
        <v>594</v>
      </c>
      <c r="B595" s="3" t="s">
        <v>129</v>
      </c>
      <c r="C595" s="3" t="s">
        <v>159</v>
      </c>
      <c r="D595" s="3" t="s">
        <v>121</v>
      </c>
      <c r="E595" s="10">
        <f ca="1">TODAY()-1636</f>
        <v>42586</v>
      </c>
      <c r="F595" s="4" t="b">
        <v>0</v>
      </c>
      <c r="G595" s="11">
        <v>295300</v>
      </c>
      <c r="H595" s="12" t="s">
        <v>219</v>
      </c>
    </row>
    <row r="596" spans="1:8" x14ac:dyDescent="0.2">
      <c r="A596" s="9">
        <v>595</v>
      </c>
      <c r="B596" s="3" t="s">
        <v>120</v>
      </c>
      <c r="C596" s="3" t="s">
        <v>205</v>
      </c>
      <c r="D596" s="3" t="s">
        <v>131</v>
      </c>
      <c r="E596" s="10">
        <f ca="1">TODAY()-1635</f>
        <v>42587</v>
      </c>
      <c r="F596" s="4" t="b">
        <v>0</v>
      </c>
      <c r="G596" s="11">
        <v>349900</v>
      </c>
      <c r="H596" s="12" t="s">
        <v>219</v>
      </c>
    </row>
    <row r="597" spans="1:8" x14ac:dyDescent="0.2">
      <c r="A597" s="9">
        <v>596</v>
      </c>
      <c r="B597" s="3" t="s">
        <v>150</v>
      </c>
      <c r="C597" s="3" t="s">
        <v>136</v>
      </c>
      <c r="D597" s="3" t="s">
        <v>124</v>
      </c>
      <c r="E597" s="10">
        <f ca="1">TODAY()-1627</f>
        <v>42595</v>
      </c>
      <c r="F597" s="4" t="b">
        <v>0</v>
      </c>
      <c r="G597" s="11">
        <v>813200</v>
      </c>
      <c r="H597" s="12" t="s">
        <v>220</v>
      </c>
    </row>
    <row r="598" spans="1:8" x14ac:dyDescent="0.2">
      <c r="A598" s="9">
        <v>597</v>
      </c>
      <c r="B598" s="3" t="s">
        <v>137</v>
      </c>
      <c r="C598" s="3" t="s">
        <v>167</v>
      </c>
      <c r="D598" s="3" t="s">
        <v>135</v>
      </c>
      <c r="E598" s="10">
        <f ca="1">TODAY()-1628</f>
        <v>42594</v>
      </c>
      <c r="F598" s="4" t="b">
        <v>1</v>
      </c>
      <c r="G598" s="11">
        <v>290500</v>
      </c>
      <c r="H598" s="12" t="s">
        <v>218</v>
      </c>
    </row>
    <row r="599" spans="1:8" x14ac:dyDescent="0.2">
      <c r="A599" s="9">
        <v>598</v>
      </c>
      <c r="B599" s="3" t="s">
        <v>155</v>
      </c>
      <c r="C599" s="3" t="s">
        <v>193</v>
      </c>
      <c r="D599" s="3" t="s">
        <v>124</v>
      </c>
      <c r="E599" s="10">
        <f ca="1">TODAY()-1618</f>
        <v>42604</v>
      </c>
      <c r="F599" s="4" t="b">
        <v>1</v>
      </c>
      <c r="G599" s="11">
        <v>375500</v>
      </c>
      <c r="H599" s="12" t="s">
        <v>218</v>
      </c>
    </row>
    <row r="600" spans="1:8" x14ac:dyDescent="0.2">
      <c r="A600" s="9">
        <v>599</v>
      </c>
      <c r="B600" s="3" t="s">
        <v>129</v>
      </c>
      <c r="C600" s="3" t="s">
        <v>128</v>
      </c>
      <c r="D600" s="3" t="s">
        <v>124</v>
      </c>
      <c r="E600" s="10">
        <f ca="1">TODAY()-1626</f>
        <v>42596</v>
      </c>
      <c r="F600" s="4" t="b">
        <v>1</v>
      </c>
      <c r="G600" s="11">
        <v>269300</v>
      </c>
      <c r="H600" s="12" t="s">
        <v>217</v>
      </c>
    </row>
    <row r="601" spans="1:8" x14ac:dyDescent="0.2">
      <c r="A601" s="9">
        <v>600</v>
      </c>
      <c r="B601" s="3" t="s">
        <v>143</v>
      </c>
      <c r="C601" s="3" t="s">
        <v>181</v>
      </c>
      <c r="D601" s="3" t="s">
        <v>121</v>
      </c>
      <c r="E601" s="10">
        <f ca="1">TODAY()-1620</f>
        <v>42602</v>
      </c>
      <c r="F601" s="4" t="b">
        <v>1</v>
      </c>
      <c r="G601" s="11">
        <v>264600</v>
      </c>
      <c r="H601" s="12" t="s">
        <v>218</v>
      </c>
    </row>
    <row r="602" spans="1:8" x14ac:dyDescent="0.2">
      <c r="A602" s="9">
        <v>601</v>
      </c>
      <c r="B602" s="3" t="s">
        <v>197</v>
      </c>
      <c r="C602" s="3" t="s">
        <v>196</v>
      </c>
      <c r="D602" s="3" t="s">
        <v>124</v>
      </c>
      <c r="E602" s="10">
        <f ca="1">TODAY()-1605</f>
        <v>42617</v>
      </c>
      <c r="F602" s="4" t="b">
        <v>1</v>
      </c>
      <c r="G602" s="11">
        <v>294100</v>
      </c>
      <c r="H602" s="12" t="s">
        <v>219</v>
      </c>
    </row>
    <row r="603" spans="1:8" x14ac:dyDescent="0.2">
      <c r="A603" s="9">
        <v>602</v>
      </c>
      <c r="B603" s="3" t="s">
        <v>123</v>
      </c>
      <c r="C603" s="3" t="s">
        <v>144</v>
      </c>
      <c r="D603" s="3" t="s">
        <v>121</v>
      </c>
      <c r="E603" s="10">
        <f ca="1">TODAY()-1608</f>
        <v>42614</v>
      </c>
      <c r="F603" s="4" t="b">
        <v>0</v>
      </c>
      <c r="G603" s="11">
        <v>461600</v>
      </c>
      <c r="H603" s="12" t="s">
        <v>219</v>
      </c>
    </row>
    <row r="604" spans="1:8" x14ac:dyDescent="0.2">
      <c r="A604" s="9">
        <v>603</v>
      </c>
      <c r="B604" s="3" t="s">
        <v>133</v>
      </c>
      <c r="C604" s="3" t="s">
        <v>211</v>
      </c>
      <c r="D604" s="3" t="s">
        <v>124</v>
      </c>
      <c r="E604" s="10">
        <f ca="1">TODAY()-1599</f>
        <v>42623</v>
      </c>
      <c r="F604" s="4" t="b">
        <v>0</v>
      </c>
      <c r="G604" s="13">
        <v>635200</v>
      </c>
      <c r="H604" s="12" t="s">
        <v>219</v>
      </c>
    </row>
    <row r="605" spans="1:8" x14ac:dyDescent="0.2">
      <c r="A605" s="9">
        <v>604</v>
      </c>
      <c r="B605" s="3" t="s">
        <v>137</v>
      </c>
      <c r="C605" s="3" t="s">
        <v>167</v>
      </c>
      <c r="D605" s="3" t="s">
        <v>135</v>
      </c>
      <c r="E605" s="10">
        <f ca="1">TODAY()-1592</f>
        <v>42630</v>
      </c>
      <c r="F605" s="4" t="b">
        <v>1</v>
      </c>
      <c r="G605" s="13">
        <v>680700</v>
      </c>
      <c r="H605" s="12" t="s">
        <v>218</v>
      </c>
    </row>
    <row r="606" spans="1:8" x14ac:dyDescent="0.2">
      <c r="A606" s="9">
        <v>605</v>
      </c>
      <c r="B606" s="3" t="s">
        <v>123</v>
      </c>
      <c r="C606" s="3" t="s">
        <v>189</v>
      </c>
      <c r="D606" s="3" t="s">
        <v>121</v>
      </c>
      <c r="E606" s="10">
        <f ca="1">TODAY()-1596</f>
        <v>42626</v>
      </c>
      <c r="F606" s="4" t="b">
        <v>0</v>
      </c>
      <c r="G606" s="11">
        <v>871900</v>
      </c>
      <c r="H606" s="12" t="s">
        <v>218</v>
      </c>
    </row>
    <row r="607" spans="1:8" x14ac:dyDescent="0.2">
      <c r="A607" s="9">
        <v>606</v>
      </c>
      <c r="B607" s="3" t="s">
        <v>120</v>
      </c>
      <c r="C607" s="3" t="s">
        <v>195</v>
      </c>
      <c r="D607" s="3" t="s">
        <v>121</v>
      </c>
      <c r="E607" s="10">
        <f ca="1">TODAY()-1587</f>
        <v>42635</v>
      </c>
      <c r="F607" s="4" t="b">
        <v>0</v>
      </c>
      <c r="G607" s="11">
        <v>271300</v>
      </c>
      <c r="H607" s="12" t="s">
        <v>219</v>
      </c>
    </row>
    <row r="608" spans="1:8" x14ac:dyDescent="0.2">
      <c r="A608" s="9">
        <v>607</v>
      </c>
      <c r="B608" s="3" t="s">
        <v>133</v>
      </c>
      <c r="C608" s="3" t="s">
        <v>208</v>
      </c>
      <c r="D608" s="3" t="s">
        <v>124</v>
      </c>
      <c r="E608" s="10">
        <f ca="1">TODAY()-1588</f>
        <v>42634</v>
      </c>
      <c r="F608" s="4" t="b">
        <v>0</v>
      </c>
      <c r="G608" s="11">
        <v>302400</v>
      </c>
      <c r="H608" s="12" t="s">
        <v>217</v>
      </c>
    </row>
    <row r="609" spans="1:8" x14ac:dyDescent="0.2">
      <c r="A609" s="9">
        <v>608</v>
      </c>
      <c r="B609" s="3" t="s">
        <v>120</v>
      </c>
      <c r="C609" s="3" t="s">
        <v>195</v>
      </c>
      <c r="D609" s="3" t="s">
        <v>121</v>
      </c>
      <c r="E609" s="10">
        <f ca="1">TODAY()-1581</f>
        <v>42641</v>
      </c>
      <c r="F609" s="4" t="b">
        <v>0</v>
      </c>
      <c r="G609" s="11">
        <v>461100</v>
      </c>
      <c r="H609" s="12" t="s">
        <v>219</v>
      </c>
    </row>
    <row r="610" spans="1:8" x14ac:dyDescent="0.2">
      <c r="A610" s="9">
        <v>609</v>
      </c>
      <c r="B610" s="3" t="s">
        <v>155</v>
      </c>
      <c r="C610" s="3" t="s">
        <v>154</v>
      </c>
      <c r="D610" s="3" t="s">
        <v>124</v>
      </c>
      <c r="E610" s="10">
        <f ca="1">TODAY()-1582</f>
        <v>42640</v>
      </c>
      <c r="F610" s="4" t="b">
        <v>0</v>
      </c>
      <c r="G610" s="11">
        <v>698000</v>
      </c>
      <c r="H610" s="12" t="s">
        <v>220</v>
      </c>
    </row>
    <row r="611" spans="1:8" x14ac:dyDescent="0.2">
      <c r="A611" s="9">
        <v>610</v>
      </c>
      <c r="B611" s="3" t="s">
        <v>133</v>
      </c>
      <c r="C611" s="3" t="s">
        <v>208</v>
      </c>
      <c r="D611" s="3" t="s">
        <v>124</v>
      </c>
      <c r="E611" s="10">
        <f ca="1">TODAY()-1581</f>
        <v>42641</v>
      </c>
      <c r="F611" s="4" t="b">
        <v>0</v>
      </c>
      <c r="G611" s="11">
        <v>326300</v>
      </c>
      <c r="H611" s="12" t="s">
        <v>217</v>
      </c>
    </row>
    <row r="612" spans="1:8" x14ac:dyDescent="0.2">
      <c r="A612" s="9">
        <v>611</v>
      </c>
      <c r="B612" s="3" t="s">
        <v>133</v>
      </c>
      <c r="C612" s="3" t="s">
        <v>153</v>
      </c>
      <c r="D612" s="3" t="s">
        <v>135</v>
      </c>
      <c r="E612" s="10">
        <f ca="1">TODAY()-1580</f>
        <v>42642</v>
      </c>
      <c r="F612" s="4" t="b">
        <v>1</v>
      </c>
      <c r="G612" s="11">
        <v>267100</v>
      </c>
      <c r="H612" s="12" t="s">
        <v>218</v>
      </c>
    </row>
    <row r="613" spans="1:8" x14ac:dyDescent="0.2">
      <c r="A613" s="9">
        <v>612</v>
      </c>
      <c r="B613" s="3" t="s">
        <v>126</v>
      </c>
      <c r="C613" s="3" t="s">
        <v>183</v>
      </c>
      <c r="D613" s="3" t="s">
        <v>127</v>
      </c>
      <c r="E613" s="10">
        <f ca="1">TODAY()-1578</f>
        <v>42644</v>
      </c>
      <c r="F613" s="4" t="b">
        <v>0</v>
      </c>
      <c r="G613" s="11">
        <v>289500</v>
      </c>
      <c r="H613" s="12" t="s">
        <v>218</v>
      </c>
    </row>
    <row r="614" spans="1:8" x14ac:dyDescent="0.2">
      <c r="A614" s="9">
        <v>613</v>
      </c>
      <c r="B614" s="3" t="s">
        <v>137</v>
      </c>
      <c r="C614" s="3" t="s">
        <v>167</v>
      </c>
      <c r="D614" s="3" t="s">
        <v>135</v>
      </c>
      <c r="E614" s="10">
        <f ca="1">TODAY()-1577</f>
        <v>42645</v>
      </c>
      <c r="F614" s="4" t="b">
        <v>0</v>
      </c>
      <c r="G614" s="11">
        <v>245800</v>
      </c>
      <c r="H614" s="12" t="s">
        <v>218</v>
      </c>
    </row>
    <row r="615" spans="1:8" x14ac:dyDescent="0.2">
      <c r="A615" s="9">
        <v>614</v>
      </c>
      <c r="B615" s="3" t="s">
        <v>146</v>
      </c>
      <c r="C615" s="3" t="s">
        <v>198</v>
      </c>
      <c r="D615" s="3" t="s">
        <v>121</v>
      </c>
      <c r="E615" s="10">
        <f ca="1">TODAY()-1559</f>
        <v>42663</v>
      </c>
      <c r="F615" s="4" t="b">
        <v>1</v>
      </c>
      <c r="G615" s="11">
        <v>249800</v>
      </c>
      <c r="H615" s="12" t="s">
        <v>219</v>
      </c>
    </row>
    <row r="616" spans="1:8" x14ac:dyDescent="0.2">
      <c r="A616" s="9">
        <v>615</v>
      </c>
      <c r="B616" s="3" t="s">
        <v>146</v>
      </c>
      <c r="C616" s="3" t="s">
        <v>201</v>
      </c>
      <c r="D616" s="3" t="s">
        <v>135</v>
      </c>
      <c r="E616" s="10">
        <f ca="1">TODAY()-1560</f>
        <v>42662</v>
      </c>
      <c r="F616" s="4" t="b">
        <v>0</v>
      </c>
      <c r="G616" s="11">
        <v>473100</v>
      </c>
      <c r="H616" s="12" t="s">
        <v>220</v>
      </c>
    </row>
    <row r="617" spans="1:8" x14ac:dyDescent="0.2">
      <c r="A617" s="9">
        <v>616</v>
      </c>
      <c r="B617" s="3" t="s">
        <v>139</v>
      </c>
      <c r="C617" s="3" t="s">
        <v>192</v>
      </c>
      <c r="D617" s="3" t="s">
        <v>121</v>
      </c>
      <c r="E617" s="10">
        <f ca="1">TODAY()-1552</f>
        <v>42670</v>
      </c>
      <c r="F617" s="4" t="b">
        <v>1</v>
      </c>
      <c r="G617" s="11">
        <v>809500</v>
      </c>
      <c r="H617" s="12" t="s">
        <v>219</v>
      </c>
    </row>
    <row r="618" spans="1:8" x14ac:dyDescent="0.2">
      <c r="A618" s="9">
        <v>617</v>
      </c>
      <c r="B618" s="3" t="s">
        <v>155</v>
      </c>
      <c r="C618" s="3" t="s">
        <v>154</v>
      </c>
      <c r="D618" s="3" t="s">
        <v>124</v>
      </c>
      <c r="E618" s="10">
        <f ca="1">TODAY()-1560</f>
        <v>42662</v>
      </c>
      <c r="F618" s="4" t="b">
        <v>1</v>
      </c>
      <c r="G618" s="11">
        <v>496600</v>
      </c>
      <c r="H618" s="12" t="s">
        <v>220</v>
      </c>
    </row>
    <row r="619" spans="1:8" x14ac:dyDescent="0.2">
      <c r="A619" s="9">
        <v>618</v>
      </c>
      <c r="B619" s="3" t="s">
        <v>146</v>
      </c>
      <c r="C619" s="3" t="s">
        <v>160</v>
      </c>
      <c r="D619" s="3" t="s">
        <v>121</v>
      </c>
      <c r="E619" s="10">
        <f ca="1">TODAY()-1551</f>
        <v>42671</v>
      </c>
      <c r="F619" s="4" t="b">
        <v>0</v>
      </c>
      <c r="G619" s="11">
        <v>237900</v>
      </c>
      <c r="H619" s="12" t="s">
        <v>218</v>
      </c>
    </row>
    <row r="620" spans="1:8" x14ac:dyDescent="0.2">
      <c r="A620" s="9">
        <v>619</v>
      </c>
      <c r="B620" s="3" t="s">
        <v>191</v>
      </c>
      <c r="C620" s="3" t="s">
        <v>199</v>
      </c>
      <c r="D620" s="3" t="s">
        <v>135</v>
      </c>
      <c r="E620" s="10">
        <f ca="1">TODAY()-1554</f>
        <v>42668</v>
      </c>
      <c r="F620" s="4" t="b">
        <v>1</v>
      </c>
      <c r="G620" s="11">
        <v>298900</v>
      </c>
      <c r="H620" s="12" t="s">
        <v>218</v>
      </c>
    </row>
    <row r="621" spans="1:8" x14ac:dyDescent="0.2">
      <c r="A621" s="9">
        <v>620</v>
      </c>
      <c r="B621" s="3" t="s">
        <v>120</v>
      </c>
      <c r="C621" s="3" t="s">
        <v>165</v>
      </c>
      <c r="D621" s="3" t="s">
        <v>131</v>
      </c>
      <c r="E621" s="10">
        <f ca="1">TODAY()-1552</f>
        <v>42670</v>
      </c>
      <c r="F621" s="4" t="b">
        <v>0</v>
      </c>
      <c r="G621" s="11">
        <v>270200</v>
      </c>
      <c r="H621" s="12" t="s">
        <v>217</v>
      </c>
    </row>
    <row r="622" spans="1:8" x14ac:dyDescent="0.2">
      <c r="A622" s="9">
        <v>621</v>
      </c>
      <c r="B622" s="3" t="s">
        <v>180</v>
      </c>
      <c r="C622" s="3" t="s">
        <v>179</v>
      </c>
      <c r="D622" s="3" t="s">
        <v>127</v>
      </c>
      <c r="E622" s="10">
        <f ca="1">TODAY()-1539</f>
        <v>42683</v>
      </c>
      <c r="F622" s="4" t="b">
        <v>0</v>
      </c>
      <c r="G622" s="11">
        <v>254500</v>
      </c>
      <c r="H622" s="12" t="s">
        <v>220</v>
      </c>
    </row>
    <row r="623" spans="1:8" x14ac:dyDescent="0.2">
      <c r="A623" s="9">
        <v>622</v>
      </c>
      <c r="B623" s="3" t="s">
        <v>155</v>
      </c>
      <c r="C623" s="3" t="s">
        <v>193</v>
      </c>
      <c r="D623" s="3" t="s">
        <v>124</v>
      </c>
      <c r="E623" s="10">
        <f ca="1">TODAY()-1539</f>
        <v>42683</v>
      </c>
      <c r="F623" s="4" t="b">
        <v>0</v>
      </c>
      <c r="G623" s="11">
        <v>259700</v>
      </c>
      <c r="H623" s="12" t="s">
        <v>218</v>
      </c>
    </row>
    <row r="624" spans="1:8" x14ac:dyDescent="0.2">
      <c r="A624" s="9">
        <v>623</v>
      </c>
      <c r="B624" s="3" t="s">
        <v>146</v>
      </c>
      <c r="C624" s="3" t="s">
        <v>201</v>
      </c>
      <c r="D624" s="3" t="s">
        <v>135</v>
      </c>
      <c r="E624" s="10">
        <f ca="1">TODAY()-1534</f>
        <v>42688</v>
      </c>
      <c r="F624" s="4" t="b">
        <v>0</v>
      </c>
      <c r="G624" s="11">
        <v>267800</v>
      </c>
      <c r="H624" s="12" t="s">
        <v>220</v>
      </c>
    </row>
    <row r="625" spans="1:8" x14ac:dyDescent="0.2">
      <c r="A625" s="9">
        <v>624</v>
      </c>
      <c r="B625" s="3" t="s">
        <v>129</v>
      </c>
      <c r="C625" s="3" t="s">
        <v>140</v>
      </c>
      <c r="D625" s="3" t="s">
        <v>135</v>
      </c>
      <c r="E625" s="10">
        <f ca="1">TODAY()-1529</f>
        <v>42693</v>
      </c>
      <c r="F625" s="4" t="b">
        <v>1</v>
      </c>
      <c r="G625" s="11">
        <v>340600</v>
      </c>
      <c r="H625" s="12" t="s">
        <v>218</v>
      </c>
    </row>
    <row r="626" spans="1:8" x14ac:dyDescent="0.2">
      <c r="A626" s="9">
        <v>625</v>
      </c>
      <c r="B626" s="3" t="s">
        <v>133</v>
      </c>
      <c r="C626" s="3" t="s">
        <v>132</v>
      </c>
      <c r="D626" s="3" t="s">
        <v>121</v>
      </c>
      <c r="E626" s="10">
        <f ca="1">TODAY()-1534</f>
        <v>42688</v>
      </c>
      <c r="F626" s="4" t="b">
        <v>1</v>
      </c>
      <c r="G626" s="11">
        <v>934400</v>
      </c>
      <c r="H626" s="12" t="s">
        <v>217</v>
      </c>
    </row>
    <row r="627" spans="1:8" x14ac:dyDescent="0.2">
      <c r="A627" s="9">
        <v>626</v>
      </c>
      <c r="B627" s="3" t="s">
        <v>143</v>
      </c>
      <c r="C627" s="3" t="s">
        <v>181</v>
      </c>
      <c r="D627" s="3" t="s">
        <v>121</v>
      </c>
      <c r="E627" s="10">
        <f ca="1">TODAY()-1528</f>
        <v>42694</v>
      </c>
      <c r="F627" s="4" t="b">
        <v>1</v>
      </c>
      <c r="G627" s="11">
        <v>289300</v>
      </c>
      <c r="H627" s="12" t="s">
        <v>218</v>
      </c>
    </row>
    <row r="628" spans="1:8" x14ac:dyDescent="0.2">
      <c r="A628" s="9">
        <v>627</v>
      </c>
      <c r="B628" s="3" t="s">
        <v>150</v>
      </c>
      <c r="C628" s="3" t="s">
        <v>152</v>
      </c>
      <c r="D628" s="3" t="s">
        <v>135</v>
      </c>
      <c r="E628" s="10">
        <f ca="1">TODAY()-1516</f>
        <v>42706</v>
      </c>
      <c r="F628" s="4" t="b">
        <v>0</v>
      </c>
      <c r="G628" s="11">
        <v>235600</v>
      </c>
      <c r="H628" s="12" t="s">
        <v>219</v>
      </c>
    </row>
    <row r="629" spans="1:8" x14ac:dyDescent="0.2">
      <c r="A629" s="9">
        <v>628</v>
      </c>
      <c r="B629" s="3" t="s">
        <v>146</v>
      </c>
      <c r="C629" s="3" t="s">
        <v>182</v>
      </c>
      <c r="D629" s="3" t="s">
        <v>121</v>
      </c>
      <c r="E629" s="10">
        <f ca="1">TODAY()-1512</f>
        <v>42710</v>
      </c>
      <c r="F629" s="4" t="b">
        <v>0</v>
      </c>
      <c r="G629" s="11">
        <v>927700</v>
      </c>
      <c r="H629" s="12" t="s">
        <v>218</v>
      </c>
    </row>
    <row r="630" spans="1:8" x14ac:dyDescent="0.2">
      <c r="A630" s="9">
        <v>629</v>
      </c>
      <c r="B630" s="3" t="s">
        <v>143</v>
      </c>
      <c r="C630" s="3" t="s">
        <v>206</v>
      </c>
      <c r="D630" s="3" t="s">
        <v>135</v>
      </c>
      <c r="E630" s="10">
        <f ca="1">TODAY()-1503</f>
        <v>42719</v>
      </c>
      <c r="F630" s="4" t="b">
        <v>0</v>
      </c>
      <c r="G630" s="11">
        <v>241800</v>
      </c>
      <c r="H630" s="12" t="s">
        <v>219</v>
      </c>
    </row>
    <row r="631" spans="1:8" x14ac:dyDescent="0.2">
      <c r="A631" s="9">
        <v>630</v>
      </c>
      <c r="B631" s="3" t="s">
        <v>155</v>
      </c>
      <c r="C631" s="3" t="s">
        <v>164</v>
      </c>
      <c r="D631" s="3" t="s">
        <v>124</v>
      </c>
      <c r="E631" s="10">
        <f ca="1">TODAY()-1502</f>
        <v>42720</v>
      </c>
      <c r="F631" s="4" t="b">
        <v>1</v>
      </c>
      <c r="G631" s="11">
        <v>281100</v>
      </c>
      <c r="H631" s="12" t="s">
        <v>220</v>
      </c>
    </row>
    <row r="632" spans="1:8" x14ac:dyDescent="0.2">
      <c r="A632" s="9">
        <v>631</v>
      </c>
      <c r="B632" s="3" t="s">
        <v>143</v>
      </c>
      <c r="C632" s="3" t="s">
        <v>181</v>
      </c>
      <c r="D632" s="3" t="s">
        <v>121</v>
      </c>
      <c r="E632" s="10">
        <f ca="1">TODAY()-1501</f>
        <v>42721</v>
      </c>
      <c r="F632" s="4" t="b">
        <v>0</v>
      </c>
      <c r="G632" s="11">
        <v>422600</v>
      </c>
      <c r="H632" s="12" t="s">
        <v>218</v>
      </c>
    </row>
    <row r="633" spans="1:8" x14ac:dyDescent="0.2">
      <c r="A633" s="9">
        <v>632</v>
      </c>
      <c r="B633" s="3" t="s">
        <v>180</v>
      </c>
      <c r="C633" s="3" t="s">
        <v>179</v>
      </c>
      <c r="D633" s="3" t="s">
        <v>127</v>
      </c>
      <c r="E633" s="10">
        <f ca="1">TODAY()-1497</f>
        <v>42725</v>
      </c>
      <c r="F633" s="4" t="b">
        <v>1</v>
      </c>
      <c r="G633" s="11">
        <v>281400</v>
      </c>
      <c r="H633" s="12" t="s">
        <v>220</v>
      </c>
    </row>
    <row r="634" spans="1:8" x14ac:dyDescent="0.2">
      <c r="A634" s="9">
        <v>633</v>
      </c>
      <c r="B634" s="3" t="s">
        <v>155</v>
      </c>
      <c r="C634" s="3" t="s">
        <v>209</v>
      </c>
      <c r="D634" s="3" t="s">
        <v>121</v>
      </c>
      <c r="E634" s="10">
        <f ca="1">TODAY()-1490</f>
        <v>42732</v>
      </c>
      <c r="F634" s="4" t="b">
        <v>0</v>
      </c>
      <c r="G634" s="11">
        <v>360000</v>
      </c>
      <c r="H634" s="12" t="s">
        <v>219</v>
      </c>
    </row>
    <row r="635" spans="1:8" x14ac:dyDescent="0.2">
      <c r="A635" s="9">
        <v>634</v>
      </c>
      <c r="B635" s="3" t="s">
        <v>148</v>
      </c>
      <c r="C635" s="3" t="s">
        <v>210</v>
      </c>
      <c r="D635" s="3" t="s">
        <v>131</v>
      </c>
      <c r="E635" s="10">
        <f ca="1">TODAY()-1494</f>
        <v>42728</v>
      </c>
      <c r="F635" s="4" t="b">
        <v>0</v>
      </c>
      <c r="G635" s="11">
        <v>251200</v>
      </c>
      <c r="H635" s="12" t="s">
        <v>219</v>
      </c>
    </row>
    <row r="636" spans="1:8" x14ac:dyDescent="0.2">
      <c r="A636" s="9">
        <v>635</v>
      </c>
      <c r="B636" s="3" t="s">
        <v>143</v>
      </c>
      <c r="C636" s="3" t="s">
        <v>166</v>
      </c>
      <c r="D636" s="3" t="s">
        <v>121</v>
      </c>
      <c r="E636" s="10">
        <f ca="1">TODAY()-1490</f>
        <v>42732</v>
      </c>
      <c r="F636" s="4" t="b">
        <v>0</v>
      </c>
      <c r="G636" s="11">
        <v>274100</v>
      </c>
      <c r="H636" s="12" t="s">
        <v>220</v>
      </c>
    </row>
    <row r="637" spans="1:8" x14ac:dyDescent="0.2">
      <c r="A637" s="9">
        <v>636</v>
      </c>
      <c r="B637" s="3" t="s">
        <v>180</v>
      </c>
      <c r="C637" s="3" t="s">
        <v>207</v>
      </c>
      <c r="D637" s="3" t="s">
        <v>127</v>
      </c>
      <c r="E637" s="10">
        <f ca="1">TODAY()-1483</f>
        <v>42739</v>
      </c>
      <c r="F637" s="4" t="b">
        <v>0</v>
      </c>
      <c r="G637" s="11">
        <v>255600</v>
      </c>
      <c r="H637" s="12" t="s">
        <v>220</v>
      </c>
    </row>
    <row r="638" spans="1:8" x14ac:dyDescent="0.2">
      <c r="A638" s="9">
        <v>637</v>
      </c>
      <c r="B638" s="3" t="s">
        <v>191</v>
      </c>
      <c r="C638" s="3" t="s">
        <v>190</v>
      </c>
      <c r="D638" s="3" t="s">
        <v>124</v>
      </c>
      <c r="E638" s="10">
        <f ca="1">TODAY()-1479</f>
        <v>42743</v>
      </c>
      <c r="F638" s="4" t="b">
        <v>0</v>
      </c>
      <c r="G638" s="11">
        <v>381700</v>
      </c>
      <c r="H638" s="12" t="s">
        <v>217</v>
      </c>
    </row>
    <row r="639" spans="1:8" x14ac:dyDescent="0.2">
      <c r="A639" s="9">
        <v>638</v>
      </c>
      <c r="B639" s="3" t="s">
        <v>129</v>
      </c>
      <c r="C639" s="3" t="s">
        <v>140</v>
      </c>
      <c r="D639" s="3" t="s">
        <v>135</v>
      </c>
      <c r="E639" s="10">
        <f ca="1">TODAY()-1477</f>
        <v>42745</v>
      </c>
      <c r="F639" s="4" t="b">
        <v>1</v>
      </c>
      <c r="G639" s="11">
        <v>247300</v>
      </c>
      <c r="H639" s="12" t="s">
        <v>218</v>
      </c>
    </row>
    <row r="640" spans="1:8" x14ac:dyDescent="0.2">
      <c r="A640" s="9">
        <v>639</v>
      </c>
      <c r="B640" s="3" t="s">
        <v>180</v>
      </c>
      <c r="C640" s="3" t="s">
        <v>207</v>
      </c>
      <c r="D640" s="3" t="s">
        <v>127</v>
      </c>
      <c r="E640" s="10">
        <f ca="1">TODAY()-1471</f>
        <v>42751</v>
      </c>
      <c r="F640" s="4" t="b">
        <v>0</v>
      </c>
      <c r="G640" s="11">
        <v>240900</v>
      </c>
      <c r="H640" s="12" t="s">
        <v>220</v>
      </c>
    </row>
    <row r="641" spans="1:8" x14ac:dyDescent="0.2">
      <c r="A641" s="9">
        <v>640</v>
      </c>
      <c r="B641" s="3" t="s">
        <v>155</v>
      </c>
      <c r="C641" s="3" t="s">
        <v>209</v>
      </c>
      <c r="D641" s="3" t="s">
        <v>121</v>
      </c>
      <c r="E641" s="10">
        <f ca="1">TODAY()-1470</f>
        <v>42752</v>
      </c>
      <c r="F641" s="4" t="b">
        <v>0</v>
      </c>
      <c r="G641" s="11">
        <v>279600</v>
      </c>
      <c r="H641" s="12" t="s">
        <v>219</v>
      </c>
    </row>
    <row r="642" spans="1:8" x14ac:dyDescent="0.2">
      <c r="A642" s="9">
        <v>641</v>
      </c>
      <c r="B642" s="3" t="s">
        <v>173</v>
      </c>
      <c r="C642" s="3" t="s">
        <v>185</v>
      </c>
      <c r="D642" s="3" t="s">
        <v>131</v>
      </c>
      <c r="E642" s="10">
        <f ca="1">TODAY()-1474</f>
        <v>42748</v>
      </c>
      <c r="F642" s="4" t="b">
        <v>0</v>
      </c>
      <c r="G642" s="11">
        <v>247900</v>
      </c>
      <c r="H642" s="12" t="s">
        <v>217</v>
      </c>
    </row>
    <row r="643" spans="1:8" x14ac:dyDescent="0.2">
      <c r="A643" s="9">
        <v>642</v>
      </c>
      <c r="B643" s="3" t="s">
        <v>129</v>
      </c>
      <c r="C643" s="3" t="s">
        <v>130</v>
      </c>
      <c r="D643" s="3" t="s">
        <v>131</v>
      </c>
      <c r="E643" s="10">
        <f ca="1">TODAY()-1473</f>
        <v>42749</v>
      </c>
      <c r="F643" s="4" t="b">
        <v>0</v>
      </c>
      <c r="G643" s="11">
        <v>290800</v>
      </c>
      <c r="H643" s="12" t="s">
        <v>218</v>
      </c>
    </row>
    <row r="644" spans="1:8" x14ac:dyDescent="0.2">
      <c r="A644" s="9">
        <v>643</v>
      </c>
      <c r="B644" s="3" t="s">
        <v>150</v>
      </c>
      <c r="C644" s="3" t="s">
        <v>175</v>
      </c>
      <c r="D644" s="3" t="s">
        <v>121</v>
      </c>
      <c r="E644" s="10">
        <f ca="1">TODAY()-1470</f>
        <v>42752</v>
      </c>
      <c r="F644" s="4" t="b">
        <v>0</v>
      </c>
      <c r="G644" s="13">
        <v>613700</v>
      </c>
      <c r="H644" s="12" t="s">
        <v>220</v>
      </c>
    </row>
    <row r="645" spans="1:8" x14ac:dyDescent="0.2">
      <c r="A645" s="9">
        <v>644</v>
      </c>
      <c r="B645" s="3" t="s">
        <v>143</v>
      </c>
      <c r="C645" s="3" t="s">
        <v>142</v>
      </c>
      <c r="D645" s="3" t="s">
        <v>121</v>
      </c>
      <c r="E645" s="10">
        <f ca="1">TODAY()-1466</f>
        <v>42756</v>
      </c>
      <c r="F645" s="4" t="b">
        <v>0</v>
      </c>
      <c r="G645" s="11">
        <v>244300</v>
      </c>
      <c r="H645" s="12" t="s">
        <v>220</v>
      </c>
    </row>
    <row r="646" spans="1:8" x14ac:dyDescent="0.2">
      <c r="A646" s="9">
        <v>645</v>
      </c>
      <c r="B646" s="3" t="s">
        <v>150</v>
      </c>
      <c r="C646" s="3" t="s">
        <v>149</v>
      </c>
      <c r="D646" s="3" t="s">
        <v>124</v>
      </c>
      <c r="E646" s="10">
        <f ca="1">TODAY()-1461</f>
        <v>42761</v>
      </c>
      <c r="F646" s="4" t="b">
        <v>0</v>
      </c>
      <c r="G646" s="11">
        <v>274800</v>
      </c>
      <c r="H646" s="12" t="s">
        <v>217</v>
      </c>
    </row>
    <row r="647" spans="1:8" x14ac:dyDescent="0.2">
      <c r="A647" s="9">
        <v>646</v>
      </c>
      <c r="B647" s="3" t="s">
        <v>180</v>
      </c>
      <c r="C647" s="3" t="s">
        <v>179</v>
      </c>
      <c r="D647" s="3" t="s">
        <v>127</v>
      </c>
      <c r="E647" s="10">
        <f ca="1">TODAY()-1453</f>
        <v>42769</v>
      </c>
      <c r="F647" s="4" t="b">
        <v>0</v>
      </c>
      <c r="G647" s="11">
        <v>258600</v>
      </c>
      <c r="H647" s="12" t="s">
        <v>220</v>
      </c>
    </row>
    <row r="648" spans="1:8" x14ac:dyDescent="0.2">
      <c r="A648" s="9">
        <v>647</v>
      </c>
      <c r="B648" s="3" t="s">
        <v>143</v>
      </c>
      <c r="C648" s="3" t="s">
        <v>206</v>
      </c>
      <c r="D648" s="3" t="s">
        <v>135</v>
      </c>
      <c r="E648" s="10">
        <f ca="1">TODAY()-1453</f>
        <v>42769</v>
      </c>
      <c r="F648" s="4" t="b">
        <v>0</v>
      </c>
      <c r="G648" s="11">
        <v>265400</v>
      </c>
      <c r="H648" s="12" t="s">
        <v>219</v>
      </c>
    </row>
    <row r="649" spans="1:8" x14ac:dyDescent="0.2">
      <c r="A649" s="9">
        <v>648</v>
      </c>
      <c r="B649" s="3" t="s">
        <v>123</v>
      </c>
      <c r="C649" s="3" t="s">
        <v>122</v>
      </c>
      <c r="D649" s="3" t="s">
        <v>124</v>
      </c>
      <c r="E649" s="10">
        <f ca="1">TODAY()-1446</f>
        <v>42776</v>
      </c>
      <c r="F649" s="4" t="b">
        <v>1</v>
      </c>
      <c r="G649" s="11">
        <v>262700</v>
      </c>
      <c r="H649" s="12" t="s">
        <v>218</v>
      </c>
    </row>
    <row r="650" spans="1:8" x14ac:dyDescent="0.2">
      <c r="A650" s="9">
        <v>649</v>
      </c>
      <c r="B650" s="3" t="s">
        <v>133</v>
      </c>
      <c r="C650" s="3" t="s">
        <v>132</v>
      </c>
      <c r="D650" s="3" t="s">
        <v>121</v>
      </c>
      <c r="E650" s="10">
        <f ca="1">TODAY()-1446</f>
        <v>42776</v>
      </c>
      <c r="F650" s="4" t="b">
        <v>0</v>
      </c>
      <c r="G650" s="11">
        <v>291100</v>
      </c>
      <c r="H650" s="12" t="s">
        <v>217</v>
      </c>
    </row>
    <row r="651" spans="1:8" x14ac:dyDescent="0.2">
      <c r="A651" s="9">
        <v>650</v>
      </c>
      <c r="B651" s="3" t="s">
        <v>155</v>
      </c>
      <c r="C651" s="3" t="s">
        <v>154</v>
      </c>
      <c r="D651" s="3" t="s">
        <v>124</v>
      </c>
      <c r="E651" s="10">
        <f ca="1">TODAY()-1445</f>
        <v>42777</v>
      </c>
      <c r="F651" s="4" t="b">
        <v>0</v>
      </c>
      <c r="G651" s="11">
        <v>257800</v>
      </c>
      <c r="H651" s="12" t="s">
        <v>220</v>
      </c>
    </row>
    <row r="652" spans="1:8" x14ac:dyDescent="0.2">
      <c r="A652" s="9">
        <v>651</v>
      </c>
      <c r="B652" s="3" t="s">
        <v>155</v>
      </c>
      <c r="C652" s="3" t="s">
        <v>174</v>
      </c>
      <c r="D652" s="3" t="s">
        <v>131</v>
      </c>
      <c r="E652" s="10">
        <f ca="1">TODAY()-1437</f>
        <v>42785</v>
      </c>
      <c r="F652" s="4" t="b">
        <v>0</v>
      </c>
      <c r="G652" s="11">
        <v>805800</v>
      </c>
      <c r="H652" s="12" t="s">
        <v>220</v>
      </c>
    </row>
    <row r="653" spans="1:8" x14ac:dyDescent="0.2">
      <c r="A653" s="9">
        <v>652</v>
      </c>
      <c r="B653" s="3" t="s">
        <v>191</v>
      </c>
      <c r="C653" s="3" t="s">
        <v>204</v>
      </c>
      <c r="D653" s="3" t="s">
        <v>135</v>
      </c>
      <c r="E653" s="10">
        <f ca="1">TODAY()-1445</f>
        <v>42777</v>
      </c>
      <c r="F653" s="4" t="b">
        <v>0</v>
      </c>
      <c r="G653" s="11">
        <v>1010100</v>
      </c>
      <c r="H653" s="12" t="s">
        <v>220</v>
      </c>
    </row>
    <row r="654" spans="1:8" x14ac:dyDescent="0.2">
      <c r="A654" s="9">
        <v>653</v>
      </c>
      <c r="B654" s="3" t="s">
        <v>150</v>
      </c>
      <c r="C654" s="3" t="s">
        <v>152</v>
      </c>
      <c r="D654" s="3" t="s">
        <v>135</v>
      </c>
      <c r="E654" s="10">
        <f ca="1">TODAY()-1445</f>
        <v>42777</v>
      </c>
      <c r="F654" s="4" t="b">
        <v>0</v>
      </c>
      <c r="G654" s="11">
        <v>852800</v>
      </c>
      <c r="H654" s="12" t="s">
        <v>219</v>
      </c>
    </row>
    <row r="655" spans="1:8" x14ac:dyDescent="0.2">
      <c r="A655" s="9">
        <v>654</v>
      </c>
      <c r="B655" s="3" t="s">
        <v>139</v>
      </c>
      <c r="C655" s="3" t="s">
        <v>138</v>
      </c>
      <c r="D655" s="3" t="s">
        <v>135</v>
      </c>
      <c r="E655" s="10">
        <f ca="1">TODAY()-1439</f>
        <v>42783</v>
      </c>
      <c r="F655" s="4" t="b">
        <v>0</v>
      </c>
      <c r="G655" s="11">
        <v>271200</v>
      </c>
      <c r="H655" s="12" t="s">
        <v>220</v>
      </c>
    </row>
    <row r="656" spans="1:8" x14ac:dyDescent="0.2">
      <c r="A656" s="9">
        <v>655</v>
      </c>
      <c r="B656" s="3" t="s">
        <v>133</v>
      </c>
      <c r="C656" s="3" t="s">
        <v>208</v>
      </c>
      <c r="D656" s="3" t="s">
        <v>124</v>
      </c>
      <c r="E656" s="10">
        <f ca="1">TODAY()-1434</f>
        <v>42788</v>
      </c>
      <c r="F656" s="4" t="b">
        <v>0</v>
      </c>
      <c r="G656" s="11">
        <v>305000</v>
      </c>
      <c r="H656" s="12" t="s">
        <v>217</v>
      </c>
    </row>
    <row r="657" spans="1:8" x14ac:dyDescent="0.2">
      <c r="A657" s="9">
        <v>656</v>
      </c>
      <c r="B657" s="3" t="s">
        <v>120</v>
      </c>
      <c r="C657" s="3" t="s">
        <v>119</v>
      </c>
      <c r="D657" s="3" t="s">
        <v>121</v>
      </c>
      <c r="E657" s="10">
        <f ca="1">TODAY()-1435</f>
        <v>42787</v>
      </c>
      <c r="F657" s="4" t="b">
        <v>0</v>
      </c>
      <c r="G657" s="11">
        <v>689200</v>
      </c>
      <c r="H657" s="12" t="s">
        <v>217</v>
      </c>
    </row>
    <row r="658" spans="1:8" x14ac:dyDescent="0.2">
      <c r="A658" s="9">
        <v>657</v>
      </c>
      <c r="B658" s="3" t="s">
        <v>120</v>
      </c>
      <c r="C658" s="3" t="s">
        <v>170</v>
      </c>
      <c r="D658" s="3" t="s">
        <v>121</v>
      </c>
      <c r="E658" s="10">
        <f ca="1">TODAY()-1435</f>
        <v>42787</v>
      </c>
      <c r="F658" s="4" t="b">
        <v>0</v>
      </c>
      <c r="G658" s="11">
        <v>494800</v>
      </c>
      <c r="H658" s="12" t="s">
        <v>220</v>
      </c>
    </row>
    <row r="659" spans="1:8" x14ac:dyDescent="0.2">
      <c r="A659" s="9">
        <v>658</v>
      </c>
      <c r="B659" s="3" t="s">
        <v>191</v>
      </c>
      <c r="C659" s="3" t="s">
        <v>204</v>
      </c>
      <c r="D659" s="3" t="s">
        <v>135</v>
      </c>
      <c r="E659" s="10">
        <f ca="1">TODAY()-1435</f>
        <v>42787</v>
      </c>
      <c r="F659" s="4" t="b">
        <v>0</v>
      </c>
      <c r="G659" s="11">
        <v>251100</v>
      </c>
      <c r="H659" s="12" t="s">
        <v>220</v>
      </c>
    </row>
    <row r="660" spans="1:8" x14ac:dyDescent="0.2">
      <c r="A660" s="9">
        <v>659</v>
      </c>
      <c r="B660" s="3" t="s">
        <v>148</v>
      </c>
      <c r="C660" s="3" t="s">
        <v>210</v>
      </c>
      <c r="D660" s="3" t="s">
        <v>131</v>
      </c>
      <c r="E660" s="10">
        <f ca="1">TODAY()-1430</f>
        <v>42792</v>
      </c>
      <c r="F660" s="4" t="b">
        <v>1</v>
      </c>
      <c r="G660" s="11">
        <v>468100</v>
      </c>
      <c r="H660" s="12" t="s">
        <v>219</v>
      </c>
    </row>
    <row r="661" spans="1:8" x14ac:dyDescent="0.2">
      <c r="A661" s="9">
        <v>660</v>
      </c>
      <c r="B661" s="3" t="s">
        <v>148</v>
      </c>
      <c r="C661" s="3" t="s">
        <v>187</v>
      </c>
      <c r="D661" s="3" t="s">
        <v>131</v>
      </c>
      <c r="E661" s="10">
        <f ca="1">TODAY()-1429</f>
        <v>42793</v>
      </c>
      <c r="F661" s="4" t="b">
        <v>1</v>
      </c>
      <c r="G661" s="11">
        <v>429800</v>
      </c>
      <c r="H661" s="12" t="s">
        <v>218</v>
      </c>
    </row>
    <row r="662" spans="1:8" x14ac:dyDescent="0.2">
      <c r="A662" s="9">
        <v>661</v>
      </c>
      <c r="B662" s="3" t="s">
        <v>173</v>
      </c>
      <c r="C662" s="3" t="s">
        <v>200</v>
      </c>
      <c r="D662" s="3" t="s">
        <v>135</v>
      </c>
      <c r="E662" s="10">
        <f ca="1">TODAY()-1427</f>
        <v>42795</v>
      </c>
      <c r="F662" s="4" t="b">
        <v>0</v>
      </c>
      <c r="G662" s="11">
        <v>482500</v>
      </c>
      <c r="H662" s="12" t="s">
        <v>219</v>
      </c>
    </row>
    <row r="663" spans="1:8" x14ac:dyDescent="0.2">
      <c r="A663" s="9">
        <v>662</v>
      </c>
      <c r="B663" s="3" t="s">
        <v>150</v>
      </c>
      <c r="C663" s="3" t="s">
        <v>136</v>
      </c>
      <c r="D663" s="3" t="s">
        <v>124</v>
      </c>
      <c r="E663" s="10">
        <f ca="1">TODAY()-1423</f>
        <v>42799</v>
      </c>
      <c r="F663" s="4" t="b">
        <v>1</v>
      </c>
      <c r="G663" s="11">
        <v>443600</v>
      </c>
      <c r="H663" s="12" t="s">
        <v>220</v>
      </c>
    </row>
    <row r="664" spans="1:8" x14ac:dyDescent="0.2">
      <c r="A664" s="9">
        <v>663</v>
      </c>
      <c r="B664" s="3" t="s">
        <v>155</v>
      </c>
      <c r="C664" s="3" t="s">
        <v>186</v>
      </c>
      <c r="D664" s="3" t="s">
        <v>135</v>
      </c>
      <c r="E664" s="10">
        <f ca="1">TODAY()-1417</f>
        <v>42805</v>
      </c>
      <c r="F664" s="4" t="b">
        <v>0</v>
      </c>
      <c r="G664" s="11">
        <v>492500</v>
      </c>
      <c r="H664" s="12" t="s">
        <v>219</v>
      </c>
    </row>
    <row r="665" spans="1:8" x14ac:dyDescent="0.2">
      <c r="A665" s="9">
        <v>664</v>
      </c>
      <c r="B665" s="3" t="s">
        <v>155</v>
      </c>
      <c r="C665" s="3" t="s">
        <v>209</v>
      </c>
      <c r="D665" s="3" t="s">
        <v>121</v>
      </c>
      <c r="E665" s="10">
        <f ca="1">TODAY()-1402</f>
        <v>42820</v>
      </c>
      <c r="F665" s="4" t="b">
        <v>0</v>
      </c>
      <c r="G665" s="11">
        <v>261500</v>
      </c>
      <c r="H665" s="12" t="s">
        <v>219</v>
      </c>
    </row>
    <row r="666" spans="1:8" x14ac:dyDescent="0.2">
      <c r="A666" s="9">
        <v>665</v>
      </c>
      <c r="B666" s="3" t="s">
        <v>146</v>
      </c>
      <c r="C666" s="3" t="s">
        <v>201</v>
      </c>
      <c r="D666" s="3" t="s">
        <v>135</v>
      </c>
      <c r="E666" s="10">
        <f ca="1">TODAY()-1404</f>
        <v>42818</v>
      </c>
      <c r="F666" s="4" t="b">
        <v>0</v>
      </c>
      <c r="G666" s="11">
        <v>284400</v>
      </c>
      <c r="H666" s="12" t="s">
        <v>220</v>
      </c>
    </row>
    <row r="667" spans="1:8" x14ac:dyDescent="0.2">
      <c r="A667" s="9">
        <v>666</v>
      </c>
      <c r="B667" s="3" t="s">
        <v>137</v>
      </c>
      <c r="C667" s="3" t="s">
        <v>151</v>
      </c>
      <c r="D667" s="3" t="s">
        <v>135</v>
      </c>
      <c r="E667" s="10">
        <f ca="1">TODAY()-1401</f>
        <v>42821</v>
      </c>
      <c r="F667" s="4" t="b">
        <v>0</v>
      </c>
      <c r="G667" s="11">
        <v>299900</v>
      </c>
      <c r="H667" s="12" t="s">
        <v>219</v>
      </c>
    </row>
    <row r="668" spans="1:8" x14ac:dyDescent="0.2">
      <c r="A668" s="9">
        <v>667</v>
      </c>
      <c r="B668" s="3" t="s">
        <v>148</v>
      </c>
      <c r="C668" s="3" t="s">
        <v>172</v>
      </c>
      <c r="D668" s="3" t="s">
        <v>121</v>
      </c>
      <c r="E668" s="10">
        <f ca="1">TODAY()-1399</f>
        <v>42823</v>
      </c>
      <c r="F668" s="4" t="b">
        <v>0</v>
      </c>
      <c r="G668" s="11">
        <v>270700</v>
      </c>
      <c r="H668" s="12" t="s">
        <v>218</v>
      </c>
    </row>
    <row r="669" spans="1:8" x14ac:dyDescent="0.2">
      <c r="A669" s="9">
        <v>668</v>
      </c>
      <c r="B669" s="3" t="s">
        <v>173</v>
      </c>
      <c r="C669" s="3" t="s">
        <v>185</v>
      </c>
      <c r="D669" s="3" t="s">
        <v>131</v>
      </c>
      <c r="E669" s="10">
        <f ca="1">TODAY()-1404</f>
        <v>42818</v>
      </c>
      <c r="F669" s="4" t="b">
        <v>1</v>
      </c>
      <c r="G669" s="11">
        <v>262000</v>
      </c>
      <c r="H669" s="12" t="s">
        <v>217</v>
      </c>
    </row>
    <row r="670" spans="1:8" x14ac:dyDescent="0.2">
      <c r="A670" s="9">
        <v>669</v>
      </c>
      <c r="B670" s="3" t="s">
        <v>133</v>
      </c>
      <c r="C670" s="3" t="s">
        <v>132</v>
      </c>
      <c r="D670" s="3" t="s">
        <v>121</v>
      </c>
      <c r="E670" s="10">
        <f ca="1">TODAY()-1402</f>
        <v>42820</v>
      </c>
      <c r="F670" s="4" t="b">
        <v>1</v>
      </c>
      <c r="G670" s="11">
        <v>422700</v>
      </c>
      <c r="H670" s="12" t="s">
        <v>217</v>
      </c>
    </row>
    <row r="671" spans="1:8" x14ac:dyDescent="0.2">
      <c r="A671" s="9">
        <v>670</v>
      </c>
      <c r="B671" s="3" t="s">
        <v>139</v>
      </c>
      <c r="C671" s="3" t="s">
        <v>145</v>
      </c>
      <c r="D671" s="3" t="s">
        <v>124</v>
      </c>
      <c r="E671" s="10">
        <f ca="1">TODAY()-1399</f>
        <v>42823</v>
      </c>
      <c r="F671" s="4" t="b">
        <v>1</v>
      </c>
      <c r="G671" s="11">
        <v>240000</v>
      </c>
      <c r="H671" s="12" t="s">
        <v>217</v>
      </c>
    </row>
    <row r="672" spans="1:8" x14ac:dyDescent="0.2">
      <c r="A672" s="9">
        <v>671</v>
      </c>
      <c r="B672" s="3" t="s">
        <v>143</v>
      </c>
      <c r="C672" s="3" t="s">
        <v>142</v>
      </c>
      <c r="D672" s="3" t="s">
        <v>121</v>
      </c>
      <c r="E672" s="10">
        <f ca="1">TODAY()-1400</f>
        <v>42822</v>
      </c>
      <c r="F672" s="4" t="b">
        <v>0</v>
      </c>
      <c r="G672" s="13">
        <v>661400</v>
      </c>
      <c r="H672" s="12" t="s">
        <v>220</v>
      </c>
    </row>
    <row r="673" spans="1:8" x14ac:dyDescent="0.2">
      <c r="A673" s="9">
        <v>672</v>
      </c>
      <c r="B673" s="3" t="s">
        <v>137</v>
      </c>
      <c r="C673" s="3" t="s">
        <v>167</v>
      </c>
      <c r="D673" s="3" t="s">
        <v>135</v>
      </c>
      <c r="E673" s="10">
        <f ca="1">TODAY()-1395</f>
        <v>42827</v>
      </c>
      <c r="F673" s="4" t="b">
        <v>1</v>
      </c>
      <c r="G673" s="11">
        <v>743900</v>
      </c>
      <c r="H673" s="12" t="s">
        <v>218</v>
      </c>
    </row>
    <row r="674" spans="1:8" x14ac:dyDescent="0.2">
      <c r="A674" s="9">
        <v>673</v>
      </c>
      <c r="B674" s="3" t="s">
        <v>120</v>
      </c>
      <c r="C674" s="3" t="s">
        <v>119</v>
      </c>
      <c r="D674" s="3" t="s">
        <v>121</v>
      </c>
      <c r="E674" s="10">
        <f ca="1">TODAY()-1391</f>
        <v>42831</v>
      </c>
      <c r="F674" s="4" t="b">
        <v>1</v>
      </c>
      <c r="G674" s="11">
        <v>253700</v>
      </c>
      <c r="H674" s="12" t="s">
        <v>217</v>
      </c>
    </row>
    <row r="675" spans="1:8" x14ac:dyDescent="0.2">
      <c r="A675" s="9">
        <v>674</v>
      </c>
      <c r="B675" s="3" t="s">
        <v>155</v>
      </c>
      <c r="C675" s="3" t="s">
        <v>193</v>
      </c>
      <c r="D675" s="3" t="s">
        <v>124</v>
      </c>
      <c r="E675" s="10">
        <f ca="1">TODAY()-1389</f>
        <v>42833</v>
      </c>
      <c r="F675" s="4" t="b">
        <v>0</v>
      </c>
      <c r="G675" s="11">
        <v>257500</v>
      </c>
      <c r="H675" s="12" t="s">
        <v>218</v>
      </c>
    </row>
    <row r="676" spans="1:8" x14ac:dyDescent="0.2">
      <c r="A676" s="9">
        <v>675</v>
      </c>
      <c r="B676" s="3" t="s">
        <v>191</v>
      </c>
      <c r="C676" s="3" t="s">
        <v>199</v>
      </c>
      <c r="D676" s="3" t="s">
        <v>135</v>
      </c>
      <c r="E676" s="10">
        <f ca="1">TODAY()-1377</f>
        <v>42845</v>
      </c>
      <c r="F676" s="4" t="b">
        <v>1</v>
      </c>
      <c r="G676" s="11">
        <v>1077100</v>
      </c>
      <c r="H676" s="12" t="s">
        <v>218</v>
      </c>
    </row>
    <row r="677" spans="1:8" x14ac:dyDescent="0.2">
      <c r="A677" s="9">
        <v>676</v>
      </c>
      <c r="B677" s="3" t="s">
        <v>139</v>
      </c>
      <c r="C677" s="3" t="s">
        <v>176</v>
      </c>
      <c r="D677" s="3" t="s">
        <v>121</v>
      </c>
      <c r="E677" s="10">
        <f ca="1">TODAY()-1372</f>
        <v>42850</v>
      </c>
      <c r="F677" s="4" t="b">
        <v>0</v>
      </c>
      <c r="G677" s="11">
        <v>456500</v>
      </c>
      <c r="H677" s="12" t="s">
        <v>217</v>
      </c>
    </row>
    <row r="678" spans="1:8" x14ac:dyDescent="0.2">
      <c r="A678" s="9">
        <v>677</v>
      </c>
      <c r="B678" s="3" t="s">
        <v>150</v>
      </c>
      <c r="C678" s="3" t="s">
        <v>152</v>
      </c>
      <c r="D678" s="3" t="s">
        <v>135</v>
      </c>
      <c r="E678" s="10">
        <f ca="1">TODAY()-1371</f>
        <v>42851</v>
      </c>
      <c r="F678" s="4" t="b">
        <v>0</v>
      </c>
      <c r="G678" s="13">
        <v>650600</v>
      </c>
      <c r="H678" s="12" t="s">
        <v>219</v>
      </c>
    </row>
    <row r="679" spans="1:8" x14ac:dyDescent="0.2">
      <c r="A679" s="9">
        <v>678</v>
      </c>
      <c r="B679" s="3" t="s">
        <v>150</v>
      </c>
      <c r="C679" s="3" t="s">
        <v>178</v>
      </c>
      <c r="D679" s="3" t="s">
        <v>121</v>
      </c>
      <c r="E679" s="10">
        <f ca="1">TODAY()-1368</f>
        <v>42854</v>
      </c>
      <c r="F679" s="4" t="b">
        <v>1</v>
      </c>
      <c r="G679" s="11">
        <v>292400</v>
      </c>
      <c r="H679" s="12" t="s">
        <v>219</v>
      </c>
    </row>
    <row r="680" spans="1:8" x14ac:dyDescent="0.2">
      <c r="A680" s="9">
        <v>679</v>
      </c>
      <c r="B680" s="3" t="s">
        <v>155</v>
      </c>
      <c r="C680" s="3" t="s">
        <v>174</v>
      </c>
      <c r="D680" s="3" t="s">
        <v>131</v>
      </c>
      <c r="E680" s="10">
        <f ca="1">TODAY()-1359</f>
        <v>42863</v>
      </c>
      <c r="F680" s="4" t="b">
        <v>0</v>
      </c>
      <c r="G680" s="11">
        <v>292500</v>
      </c>
      <c r="H680" s="12" t="s">
        <v>220</v>
      </c>
    </row>
    <row r="681" spans="1:8" x14ac:dyDescent="0.2">
      <c r="A681" s="9">
        <v>680</v>
      </c>
      <c r="B681" s="3" t="s">
        <v>129</v>
      </c>
      <c r="C681" s="3" t="s">
        <v>128</v>
      </c>
      <c r="D681" s="3" t="s">
        <v>124</v>
      </c>
      <c r="E681" s="10">
        <f ca="1">TODAY()-1360</f>
        <v>42862</v>
      </c>
      <c r="F681" s="4" t="b">
        <v>0</v>
      </c>
      <c r="G681" s="11">
        <v>364500</v>
      </c>
      <c r="H681" s="12" t="s">
        <v>217</v>
      </c>
    </row>
    <row r="682" spans="1:8" x14ac:dyDescent="0.2">
      <c r="A682" s="9">
        <v>681</v>
      </c>
      <c r="B682" s="3" t="s">
        <v>120</v>
      </c>
      <c r="C682" s="3" t="s">
        <v>205</v>
      </c>
      <c r="D682" s="3" t="s">
        <v>131</v>
      </c>
      <c r="E682" s="10">
        <f ca="1">TODAY()-1362</f>
        <v>42860</v>
      </c>
      <c r="F682" s="4" t="b">
        <v>0</v>
      </c>
      <c r="G682" s="11">
        <v>248200</v>
      </c>
      <c r="H682" s="12" t="s">
        <v>219</v>
      </c>
    </row>
    <row r="683" spans="1:8" x14ac:dyDescent="0.2">
      <c r="A683" s="9">
        <v>682</v>
      </c>
      <c r="B683" s="3" t="s">
        <v>133</v>
      </c>
      <c r="C683" s="3" t="s">
        <v>153</v>
      </c>
      <c r="D683" s="3" t="s">
        <v>135</v>
      </c>
      <c r="E683" s="10">
        <f ca="1">TODAY()-1368</f>
        <v>42854</v>
      </c>
      <c r="F683" s="4" t="b">
        <v>0</v>
      </c>
      <c r="G683" s="11">
        <v>286300</v>
      </c>
      <c r="H683" s="12" t="s">
        <v>218</v>
      </c>
    </row>
    <row r="684" spans="1:8" x14ac:dyDescent="0.2">
      <c r="A684" s="9">
        <v>683</v>
      </c>
      <c r="B684" s="3" t="s">
        <v>191</v>
      </c>
      <c r="C684" s="3" t="s">
        <v>204</v>
      </c>
      <c r="D684" s="3" t="s">
        <v>135</v>
      </c>
      <c r="E684" s="10">
        <f ca="1">TODAY()-1355</f>
        <v>42867</v>
      </c>
      <c r="F684" s="4" t="b">
        <v>1</v>
      </c>
      <c r="G684" s="11">
        <v>246900</v>
      </c>
      <c r="H684" s="12" t="s">
        <v>220</v>
      </c>
    </row>
    <row r="685" spans="1:8" x14ac:dyDescent="0.2">
      <c r="A685" s="9">
        <v>684</v>
      </c>
      <c r="B685" s="3" t="s">
        <v>137</v>
      </c>
      <c r="C685" s="3" t="s">
        <v>151</v>
      </c>
      <c r="D685" s="3" t="s">
        <v>135</v>
      </c>
      <c r="E685" s="10">
        <f ca="1">TODAY()-1363</f>
        <v>42859</v>
      </c>
      <c r="F685" s="4" t="b">
        <v>1</v>
      </c>
      <c r="G685" s="11">
        <v>296800</v>
      </c>
      <c r="H685" s="12" t="s">
        <v>219</v>
      </c>
    </row>
    <row r="686" spans="1:8" x14ac:dyDescent="0.2">
      <c r="A686" s="9">
        <v>685</v>
      </c>
      <c r="B686" s="3" t="s">
        <v>191</v>
      </c>
      <c r="C686" s="3" t="s">
        <v>199</v>
      </c>
      <c r="D686" s="3" t="s">
        <v>135</v>
      </c>
      <c r="E686" s="10">
        <f ca="1">TODAY()-1353</f>
        <v>42869</v>
      </c>
      <c r="F686" s="4" t="b">
        <v>0</v>
      </c>
      <c r="G686" s="11">
        <v>433700</v>
      </c>
      <c r="H686" s="12" t="s">
        <v>218</v>
      </c>
    </row>
    <row r="687" spans="1:8" x14ac:dyDescent="0.2">
      <c r="A687" s="9">
        <v>686</v>
      </c>
      <c r="B687" s="3" t="s">
        <v>146</v>
      </c>
      <c r="C687" s="3" t="s">
        <v>198</v>
      </c>
      <c r="D687" s="3" t="s">
        <v>121</v>
      </c>
      <c r="E687" s="10">
        <f ca="1">TODAY()-1358</f>
        <v>42864</v>
      </c>
      <c r="F687" s="4" t="b">
        <v>0</v>
      </c>
      <c r="G687" s="11">
        <v>255100</v>
      </c>
      <c r="H687" s="12" t="s">
        <v>219</v>
      </c>
    </row>
    <row r="688" spans="1:8" x14ac:dyDescent="0.2">
      <c r="A688" s="9">
        <v>687</v>
      </c>
      <c r="B688" s="3" t="s">
        <v>126</v>
      </c>
      <c r="C688" s="3" t="s">
        <v>125</v>
      </c>
      <c r="D688" s="3" t="s">
        <v>127</v>
      </c>
      <c r="E688" s="10">
        <f ca="1">TODAY()-1353</f>
        <v>42869</v>
      </c>
      <c r="F688" s="4" t="b">
        <v>0</v>
      </c>
      <c r="G688" s="11">
        <v>263700</v>
      </c>
      <c r="H688" s="12" t="s">
        <v>219</v>
      </c>
    </row>
    <row r="689" spans="1:8" x14ac:dyDescent="0.2">
      <c r="A689" s="9">
        <v>688</v>
      </c>
      <c r="B689" s="3" t="s">
        <v>120</v>
      </c>
      <c r="C689" s="3" t="s">
        <v>205</v>
      </c>
      <c r="D689" s="3" t="s">
        <v>131</v>
      </c>
      <c r="E689" s="10">
        <f ca="1">TODAY()-1350</f>
        <v>42872</v>
      </c>
      <c r="F689" s="4" t="b">
        <v>0</v>
      </c>
      <c r="G689" s="11">
        <v>451700</v>
      </c>
      <c r="H689" s="12" t="s">
        <v>219</v>
      </c>
    </row>
    <row r="690" spans="1:8" x14ac:dyDescent="0.2">
      <c r="A690" s="9">
        <v>689</v>
      </c>
      <c r="B690" s="3" t="s">
        <v>163</v>
      </c>
      <c r="C690" s="3" t="s">
        <v>162</v>
      </c>
      <c r="D690" s="3" t="s">
        <v>127</v>
      </c>
      <c r="E690" s="10">
        <f ca="1">TODAY()-1322</f>
        <v>42900</v>
      </c>
      <c r="F690" s="4" t="b">
        <v>1</v>
      </c>
      <c r="G690" s="11">
        <v>418000</v>
      </c>
      <c r="H690" s="12" t="s">
        <v>217</v>
      </c>
    </row>
    <row r="691" spans="1:8" x14ac:dyDescent="0.2">
      <c r="A691" s="9">
        <v>690</v>
      </c>
      <c r="B691" s="3" t="s">
        <v>139</v>
      </c>
      <c r="C691" s="3" t="s">
        <v>192</v>
      </c>
      <c r="D691" s="3" t="s">
        <v>121</v>
      </c>
      <c r="E691" s="10">
        <f ca="1">TODAY()-1321</f>
        <v>42901</v>
      </c>
      <c r="F691" s="4" t="b">
        <v>1</v>
      </c>
      <c r="G691" s="11">
        <v>266600</v>
      </c>
      <c r="H691" s="12" t="s">
        <v>219</v>
      </c>
    </row>
    <row r="692" spans="1:8" x14ac:dyDescent="0.2">
      <c r="A692" s="9">
        <v>691</v>
      </c>
      <c r="B692" s="3" t="s">
        <v>133</v>
      </c>
      <c r="C692" s="3" t="s">
        <v>171</v>
      </c>
      <c r="D692" s="3" t="s">
        <v>131</v>
      </c>
      <c r="E692" s="10">
        <f ca="1">TODAY()-1309</f>
        <v>42913</v>
      </c>
      <c r="F692" s="4" t="b">
        <v>0</v>
      </c>
      <c r="G692" s="11">
        <v>290000</v>
      </c>
      <c r="H692" s="12" t="s">
        <v>217</v>
      </c>
    </row>
    <row r="693" spans="1:8" x14ac:dyDescent="0.2">
      <c r="A693" s="9">
        <v>692</v>
      </c>
      <c r="B693" s="3" t="s">
        <v>129</v>
      </c>
      <c r="C693" s="3" t="s">
        <v>128</v>
      </c>
      <c r="D693" s="3" t="s">
        <v>124</v>
      </c>
      <c r="E693" s="10">
        <f ca="1">TODAY()-1316</f>
        <v>42906</v>
      </c>
      <c r="F693" s="4" t="b">
        <v>0</v>
      </c>
      <c r="G693" s="11">
        <v>241900</v>
      </c>
      <c r="H693" s="12" t="s">
        <v>217</v>
      </c>
    </row>
    <row r="694" spans="1:8" x14ac:dyDescent="0.2">
      <c r="A694" s="9">
        <v>693</v>
      </c>
      <c r="B694" s="3" t="s">
        <v>150</v>
      </c>
      <c r="C694" s="3" t="s">
        <v>175</v>
      </c>
      <c r="D694" s="3" t="s">
        <v>121</v>
      </c>
      <c r="E694" s="10">
        <f ca="1">TODAY()-1307</f>
        <v>42915</v>
      </c>
      <c r="F694" s="4" t="b">
        <v>0</v>
      </c>
      <c r="G694" s="11">
        <v>251100</v>
      </c>
      <c r="H694" s="12" t="s">
        <v>220</v>
      </c>
    </row>
    <row r="695" spans="1:8" x14ac:dyDescent="0.2">
      <c r="A695" s="9">
        <v>694</v>
      </c>
      <c r="B695" s="3" t="s">
        <v>146</v>
      </c>
      <c r="C695" s="3" t="s">
        <v>188</v>
      </c>
      <c r="D695" s="3" t="s">
        <v>121</v>
      </c>
      <c r="E695" s="10">
        <f ca="1">TODAY()-1311</f>
        <v>42911</v>
      </c>
      <c r="F695" s="4" t="b">
        <v>1</v>
      </c>
      <c r="G695" s="11">
        <v>445200</v>
      </c>
      <c r="H695" s="12" t="s">
        <v>218</v>
      </c>
    </row>
    <row r="696" spans="1:8" x14ac:dyDescent="0.2">
      <c r="A696" s="9">
        <v>695</v>
      </c>
      <c r="B696" s="3" t="s">
        <v>148</v>
      </c>
      <c r="C696" s="3" t="s">
        <v>187</v>
      </c>
      <c r="D696" s="3" t="s">
        <v>131</v>
      </c>
      <c r="E696" s="10">
        <f ca="1">TODAY()-1307</f>
        <v>42915</v>
      </c>
      <c r="F696" s="4" t="b">
        <v>0</v>
      </c>
      <c r="G696" s="11">
        <v>447500</v>
      </c>
      <c r="H696" s="12" t="s">
        <v>218</v>
      </c>
    </row>
    <row r="697" spans="1:8" x14ac:dyDescent="0.2">
      <c r="A697" s="9">
        <v>696</v>
      </c>
      <c r="B697" s="3" t="s">
        <v>146</v>
      </c>
      <c r="C697" s="3" t="s">
        <v>188</v>
      </c>
      <c r="D697" s="3" t="s">
        <v>121</v>
      </c>
      <c r="E697" s="10">
        <f ca="1">TODAY()-1295</f>
        <v>42927</v>
      </c>
      <c r="F697" s="4" t="b">
        <v>1</v>
      </c>
      <c r="G697" s="11">
        <v>294500</v>
      </c>
      <c r="H697" s="12" t="s">
        <v>218</v>
      </c>
    </row>
    <row r="698" spans="1:8" x14ac:dyDescent="0.2">
      <c r="A698" s="9">
        <v>697</v>
      </c>
      <c r="B698" s="3" t="s">
        <v>155</v>
      </c>
      <c r="C698" s="3" t="s">
        <v>164</v>
      </c>
      <c r="D698" s="3" t="s">
        <v>124</v>
      </c>
      <c r="E698" s="10">
        <f ca="1">TODAY()-1294</f>
        <v>42928</v>
      </c>
      <c r="F698" s="4" t="b">
        <v>0</v>
      </c>
      <c r="G698" s="11">
        <v>464100</v>
      </c>
      <c r="H698" s="12" t="s">
        <v>220</v>
      </c>
    </row>
    <row r="699" spans="1:8" x14ac:dyDescent="0.2">
      <c r="A699" s="9">
        <v>698</v>
      </c>
      <c r="B699" s="3" t="s">
        <v>126</v>
      </c>
      <c r="C699" s="3" t="s">
        <v>183</v>
      </c>
      <c r="D699" s="3" t="s">
        <v>127</v>
      </c>
      <c r="E699" s="10">
        <f ca="1">TODAY()-1286</f>
        <v>42936</v>
      </c>
      <c r="F699" s="4" t="b">
        <v>0</v>
      </c>
      <c r="G699" s="11">
        <v>295300</v>
      </c>
      <c r="H699" s="12" t="s">
        <v>218</v>
      </c>
    </row>
    <row r="700" spans="1:8" x14ac:dyDescent="0.2">
      <c r="A700" s="9">
        <v>699</v>
      </c>
      <c r="B700" s="3" t="s">
        <v>139</v>
      </c>
      <c r="C700" s="3" t="s">
        <v>194</v>
      </c>
      <c r="D700" s="3" t="s">
        <v>121</v>
      </c>
      <c r="E700" s="10">
        <f ca="1">TODAY()-1289</f>
        <v>42933</v>
      </c>
      <c r="F700" s="4" t="b">
        <v>0</v>
      </c>
      <c r="G700" s="11">
        <v>485200</v>
      </c>
      <c r="H700" s="12" t="s">
        <v>217</v>
      </c>
    </row>
    <row r="701" spans="1:8" x14ac:dyDescent="0.2">
      <c r="A701" s="9">
        <v>700</v>
      </c>
      <c r="B701" s="3" t="s">
        <v>139</v>
      </c>
      <c r="C701" s="3" t="s">
        <v>176</v>
      </c>
      <c r="D701" s="3" t="s">
        <v>121</v>
      </c>
      <c r="E701" s="10">
        <f ca="1">TODAY()-1281</f>
        <v>42941</v>
      </c>
      <c r="F701" s="4" t="b">
        <v>0</v>
      </c>
      <c r="G701" s="11">
        <v>239600</v>
      </c>
      <c r="H701" s="12" t="s">
        <v>217</v>
      </c>
    </row>
    <row r="702" spans="1:8" x14ac:dyDescent="0.2">
      <c r="A702" s="9">
        <v>701</v>
      </c>
      <c r="B702" s="3" t="s">
        <v>191</v>
      </c>
      <c r="C702" s="3" t="s">
        <v>199</v>
      </c>
      <c r="D702" s="3" t="s">
        <v>135</v>
      </c>
      <c r="E702" s="10">
        <f ca="1">TODAY()-1286</f>
        <v>42936</v>
      </c>
      <c r="F702" s="4" t="b">
        <v>0</v>
      </c>
      <c r="G702" s="11">
        <v>269800</v>
      </c>
      <c r="H702" s="12" t="s">
        <v>218</v>
      </c>
    </row>
    <row r="703" spans="1:8" x14ac:dyDescent="0.2">
      <c r="A703" s="9">
        <v>702</v>
      </c>
      <c r="B703" s="3" t="s">
        <v>146</v>
      </c>
      <c r="C703" s="3" t="s">
        <v>160</v>
      </c>
      <c r="D703" s="3" t="s">
        <v>121</v>
      </c>
      <c r="E703" s="10">
        <f ca="1">TODAY()-1269</f>
        <v>42953</v>
      </c>
      <c r="F703" s="4" t="b">
        <v>0</v>
      </c>
      <c r="G703" s="11">
        <v>287900</v>
      </c>
      <c r="H703" s="12" t="s">
        <v>218</v>
      </c>
    </row>
    <row r="704" spans="1:8" x14ac:dyDescent="0.2">
      <c r="A704" s="9">
        <v>703</v>
      </c>
      <c r="B704" s="3" t="s">
        <v>143</v>
      </c>
      <c r="C704" s="3" t="s">
        <v>203</v>
      </c>
      <c r="D704" s="3" t="s">
        <v>124</v>
      </c>
      <c r="E704" s="10">
        <f ca="1">TODAY()-1273</f>
        <v>42949</v>
      </c>
      <c r="F704" s="4" t="b">
        <v>1</v>
      </c>
      <c r="G704" s="11">
        <v>237300</v>
      </c>
      <c r="H704" s="12" t="s">
        <v>219</v>
      </c>
    </row>
    <row r="705" spans="1:8" x14ac:dyDescent="0.2">
      <c r="A705" s="9">
        <v>704</v>
      </c>
      <c r="B705" s="3" t="s">
        <v>150</v>
      </c>
      <c r="C705" s="3" t="s">
        <v>152</v>
      </c>
      <c r="D705" s="3" t="s">
        <v>135</v>
      </c>
      <c r="E705" s="10">
        <f ca="1">TODAY()-1272</f>
        <v>42950</v>
      </c>
      <c r="F705" s="4" t="b">
        <v>0</v>
      </c>
      <c r="G705" s="11">
        <v>297600</v>
      </c>
      <c r="H705" s="12" t="s">
        <v>219</v>
      </c>
    </row>
    <row r="706" spans="1:8" x14ac:dyDescent="0.2">
      <c r="A706" s="9">
        <v>705</v>
      </c>
      <c r="B706" s="3" t="s">
        <v>150</v>
      </c>
      <c r="C706" s="3" t="s">
        <v>175</v>
      </c>
      <c r="D706" s="3" t="s">
        <v>121</v>
      </c>
      <c r="E706" s="10">
        <f ca="1">TODAY()-1266</f>
        <v>42956</v>
      </c>
      <c r="F706" s="4" t="b">
        <v>1</v>
      </c>
      <c r="G706" s="11">
        <v>287800</v>
      </c>
      <c r="H706" s="12" t="s">
        <v>220</v>
      </c>
    </row>
    <row r="707" spans="1:8" x14ac:dyDescent="0.2">
      <c r="A707" s="9">
        <v>706</v>
      </c>
      <c r="B707" s="3" t="s">
        <v>155</v>
      </c>
      <c r="C707" s="3" t="s">
        <v>193</v>
      </c>
      <c r="D707" s="3" t="s">
        <v>124</v>
      </c>
      <c r="E707" s="10">
        <f ca="1">TODAY()-1263</f>
        <v>42959</v>
      </c>
      <c r="F707" s="4" t="b">
        <v>0</v>
      </c>
      <c r="G707" s="11">
        <v>648000</v>
      </c>
      <c r="H707" s="12" t="s">
        <v>218</v>
      </c>
    </row>
    <row r="708" spans="1:8" x14ac:dyDescent="0.2">
      <c r="A708" s="9">
        <v>707</v>
      </c>
      <c r="B708" s="3" t="s">
        <v>146</v>
      </c>
      <c r="C708" s="3" t="s">
        <v>188</v>
      </c>
      <c r="D708" s="3" t="s">
        <v>121</v>
      </c>
      <c r="E708" s="10">
        <f ca="1">TODAY()-1262</f>
        <v>42960</v>
      </c>
      <c r="F708" s="4" t="b">
        <v>1</v>
      </c>
      <c r="G708" s="11">
        <v>277400</v>
      </c>
      <c r="H708" s="12" t="s">
        <v>218</v>
      </c>
    </row>
    <row r="709" spans="1:8" x14ac:dyDescent="0.2">
      <c r="A709" s="9">
        <v>708</v>
      </c>
      <c r="B709" s="3" t="s">
        <v>129</v>
      </c>
      <c r="C709" s="3" t="s">
        <v>140</v>
      </c>
      <c r="D709" s="3" t="s">
        <v>135</v>
      </c>
      <c r="E709" s="10">
        <f ca="1">TODAY()-1265</f>
        <v>42957</v>
      </c>
      <c r="F709" s="4" t="b">
        <v>1</v>
      </c>
      <c r="G709" s="11">
        <v>276100</v>
      </c>
      <c r="H709" s="12" t="s">
        <v>218</v>
      </c>
    </row>
    <row r="710" spans="1:8" x14ac:dyDescent="0.2">
      <c r="A710" s="9">
        <v>709</v>
      </c>
      <c r="B710" s="3" t="s">
        <v>146</v>
      </c>
      <c r="C710" s="3" t="s">
        <v>160</v>
      </c>
      <c r="D710" s="3" t="s">
        <v>121</v>
      </c>
      <c r="E710" s="10">
        <f ca="1">TODAY()-1262</f>
        <v>42960</v>
      </c>
      <c r="F710" s="4" t="b">
        <v>0</v>
      </c>
      <c r="G710" s="11">
        <v>261700</v>
      </c>
      <c r="H710" s="12" t="s">
        <v>218</v>
      </c>
    </row>
    <row r="711" spans="1:8" x14ac:dyDescent="0.2">
      <c r="A711" s="9">
        <v>710</v>
      </c>
      <c r="B711" s="3" t="s">
        <v>158</v>
      </c>
      <c r="C711" s="3" t="s">
        <v>184</v>
      </c>
      <c r="D711" s="3" t="s">
        <v>127</v>
      </c>
      <c r="E711" s="10">
        <f ca="1">TODAY()-1256</f>
        <v>42966</v>
      </c>
      <c r="F711" s="4" t="b">
        <v>1</v>
      </c>
      <c r="G711" s="13">
        <v>660900</v>
      </c>
      <c r="H711" s="12" t="s">
        <v>220</v>
      </c>
    </row>
    <row r="712" spans="1:8" x14ac:dyDescent="0.2">
      <c r="A712" s="9">
        <v>711</v>
      </c>
      <c r="B712" s="3" t="s">
        <v>146</v>
      </c>
      <c r="C712" s="3" t="s">
        <v>201</v>
      </c>
      <c r="D712" s="3" t="s">
        <v>135</v>
      </c>
      <c r="E712" s="10">
        <f ca="1">TODAY()-1257</f>
        <v>42965</v>
      </c>
      <c r="F712" s="4" t="b">
        <v>0</v>
      </c>
      <c r="G712" s="11">
        <v>245500</v>
      </c>
      <c r="H712" s="12" t="s">
        <v>220</v>
      </c>
    </row>
    <row r="713" spans="1:8" x14ac:dyDescent="0.2">
      <c r="A713" s="9">
        <v>712</v>
      </c>
      <c r="B713" s="3" t="s">
        <v>133</v>
      </c>
      <c r="C713" s="3" t="s">
        <v>171</v>
      </c>
      <c r="D713" s="3" t="s">
        <v>131</v>
      </c>
      <c r="E713" s="10">
        <f ca="1">TODAY()-1250</f>
        <v>42972</v>
      </c>
      <c r="F713" s="4" t="b">
        <v>0</v>
      </c>
      <c r="G713" s="11">
        <v>424500</v>
      </c>
      <c r="H713" s="12" t="s">
        <v>217</v>
      </c>
    </row>
    <row r="714" spans="1:8" x14ac:dyDescent="0.2">
      <c r="A714" s="9">
        <v>713</v>
      </c>
      <c r="B714" s="3" t="s">
        <v>150</v>
      </c>
      <c r="C714" s="3" t="s">
        <v>168</v>
      </c>
      <c r="D714" s="3" t="s">
        <v>124</v>
      </c>
      <c r="E714" s="10">
        <f ca="1">TODAY()-1253</f>
        <v>42969</v>
      </c>
      <c r="F714" s="4" t="b">
        <v>1</v>
      </c>
      <c r="G714" s="11">
        <v>277900</v>
      </c>
      <c r="H714" s="12" t="s">
        <v>218</v>
      </c>
    </row>
    <row r="715" spans="1:8" x14ac:dyDescent="0.2">
      <c r="A715" s="9">
        <v>714</v>
      </c>
      <c r="B715" s="3" t="s">
        <v>155</v>
      </c>
      <c r="C715" s="3" t="s">
        <v>164</v>
      </c>
      <c r="D715" s="3" t="s">
        <v>124</v>
      </c>
      <c r="E715" s="10">
        <f ca="1">TODAY()-1246</f>
        <v>42976</v>
      </c>
      <c r="F715" s="4" t="b">
        <v>0</v>
      </c>
      <c r="G715" s="11">
        <v>350200</v>
      </c>
      <c r="H715" s="12" t="s">
        <v>220</v>
      </c>
    </row>
    <row r="716" spans="1:8" x14ac:dyDescent="0.2">
      <c r="A716" s="9">
        <v>715</v>
      </c>
      <c r="B716" s="3" t="s">
        <v>129</v>
      </c>
      <c r="C716" s="3" t="s">
        <v>130</v>
      </c>
      <c r="D716" s="3" t="s">
        <v>131</v>
      </c>
      <c r="E716" s="10">
        <f ca="1">TODAY()-1238</f>
        <v>42984</v>
      </c>
      <c r="F716" s="4" t="b">
        <v>1</v>
      </c>
      <c r="G716" s="11">
        <v>270300</v>
      </c>
      <c r="H716" s="12" t="s">
        <v>218</v>
      </c>
    </row>
    <row r="717" spans="1:8" x14ac:dyDescent="0.2">
      <c r="A717" s="9">
        <v>716</v>
      </c>
      <c r="B717" s="3" t="s">
        <v>155</v>
      </c>
      <c r="C717" s="3" t="s">
        <v>209</v>
      </c>
      <c r="D717" s="3" t="s">
        <v>121</v>
      </c>
      <c r="E717" s="10">
        <f ca="1">TODAY()-1240</f>
        <v>42982</v>
      </c>
      <c r="F717" s="4" t="b">
        <v>0</v>
      </c>
      <c r="G717" s="11">
        <v>278100</v>
      </c>
      <c r="H717" s="12" t="s">
        <v>219</v>
      </c>
    </row>
    <row r="718" spans="1:8" x14ac:dyDescent="0.2">
      <c r="A718" s="9">
        <v>717</v>
      </c>
      <c r="B718" s="3" t="s">
        <v>133</v>
      </c>
      <c r="C718" s="3" t="s">
        <v>171</v>
      </c>
      <c r="D718" s="3" t="s">
        <v>131</v>
      </c>
      <c r="E718" s="10">
        <f ca="1">TODAY()-1233</f>
        <v>42989</v>
      </c>
      <c r="F718" s="4" t="b">
        <v>1</v>
      </c>
      <c r="G718" s="11">
        <v>268400</v>
      </c>
      <c r="H718" s="12" t="s">
        <v>217</v>
      </c>
    </row>
    <row r="719" spans="1:8" x14ac:dyDescent="0.2">
      <c r="A719" s="9">
        <v>718</v>
      </c>
      <c r="B719" s="3" t="s">
        <v>150</v>
      </c>
      <c r="C719" s="3" t="s">
        <v>152</v>
      </c>
      <c r="D719" s="3" t="s">
        <v>135</v>
      </c>
      <c r="E719" s="10">
        <f ca="1">TODAY()-1235</f>
        <v>42987</v>
      </c>
      <c r="F719" s="4" t="b">
        <v>0</v>
      </c>
      <c r="G719" s="11">
        <v>236500</v>
      </c>
      <c r="H719" s="12" t="s">
        <v>219</v>
      </c>
    </row>
    <row r="720" spans="1:8" x14ac:dyDescent="0.2">
      <c r="A720" s="9">
        <v>719</v>
      </c>
      <c r="B720" s="3" t="s">
        <v>139</v>
      </c>
      <c r="C720" s="3" t="s">
        <v>141</v>
      </c>
      <c r="D720" s="3" t="s">
        <v>124</v>
      </c>
      <c r="E720" s="10">
        <f ca="1">TODAY()-1222</f>
        <v>43000</v>
      </c>
      <c r="F720" s="4" t="b">
        <v>0</v>
      </c>
      <c r="G720" s="13">
        <v>645900</v>
      </c>
      <c r="H720" s="12" t="s">
        <v>220</v>
      </c>
    </row>
    <row r="721" spans="1:8" x14ac:dyDescent="0.2">
      <c r="A721" s="9">
        <v>720</v>
      </c>
      <c r="B721" s="3" t="s">
        <v>146</v>
      </c>
      <c r="C721" s="3" t="s">
        <v>201</v>
      </c>
      <c r="D721" s="3" t="s">
        <v>135</v>
      </c>
      <c r="E721" s="10">
        <f ca="1">TODAY()-1225</f>
        <v>42997</v>
      </c>
      <c r="F721" s="4" t="b">
        <v>0</v>
      </c>
      <c r="G721" s="11">
        <v>335800</v>
      </c>
      <c r="H721" s="12" t="s">
        <v>220</v>
      </c>
    </row>
    <row r="722" spans="1:8" x14ac:dyDescent="0.2">
      <c r="A722" s="9">
        <v>721</v>
      </c>
      <c r="B722" s="3" t="s">
        <v>139</v>
      </c>
      <c r="C722" s="3" t="s">
        <v>192</v>
      </c>
      <c r="D722" s="3" t="s">
        <v>121</v>
      </c>
      <c r="E722" s="10">
        <f ca="1">TODAY()-1220</f>
        <v>43002</v>
      </c>
      <c r="F722" s="4" t="b">
        <v>0</v>
      </c>
      <c r="G722" s="11">
        <v>278000</v>
      </c>
      <c r="H722" s="12" t="s">
        <v>219</v>
      </c>
    </row>
    <row r="723" spans="1:8" x14ac:dyDescent="0.2">
      <c r="A723" s="9">
        <v>722</v>
      </c>
      <c r="B723" s="3" t="s">
        <v>120</v>
      </c>
      <c r="C723" s="3" t="s">
        <v>170</v>
      </c>
      <c r="D723" s="3" t="s">
        <v>121</v>
      </c>
      <c r="E723" s="10">
        <f ca="1">TODAY()-1214</f>
        <v>43008</v>
      </c>
      <c r="F723" s="4" t="b">
        <v>0</v>
      </c>
      <c r="G723" s="11">
        <v>257600</v>
      </c>
      <c r="H723" s="12" t="s">
        <v>220</v>
      </c>
    </row>
    <row r="724" spans="1:8" x14ac:dyDescent="0.2">
      <c r="A724" s="9">
        <v>723</v>
      </c>
      <c r="B724" s="3" t="s">
        <v>150</v>
      </c>
      <c r="C724" s="3" t="s">
        <v>175</v>
      </c>
      <c r="D724" s="3" t="s">
        <v>121</v>
      </c>
      <c r="E724" s="10">
        <f ca="1">TODAY()-1198</f>
        <v>43024</v>
      </c>
      <c r="F724" s="4" t="b">
        <v>0</v>
      </c>
      <c r="G724" s="11">
        <v>247400</v>
      </c>
      <c r="H724" s="12" t="s">
        <v>220</v>
      </c>
    </row>
    <row r="725" spans="1:8" x14ac:dyDescent="0.2">
      <c r="A725" s="9">
        <v>724</v>
      </c>
      <c r="B725" s="3" t="s">
        <v>137</v>
      </c>
      <c r="C725" s="3" t="s">
        <v>167</v>
      </c>
      <c r="D725" s="3" t="s">
        <v>135</v>
      </c>
      <c r="E725" s="10">
        <f ca="1">TODAY()-1192</f>
        <v>43030</v>
      </c>
      <c r="F725" s="4" t="b">
        <v>0</v>
      </c>
      <c r="G725" s="11">
        <v>267500</v>
      </c>
      <c r="H725" s="12" t="s">
        <v>218</v>
      </c>
    </row>
    <row r="726" spans="1:8" x14ac:dyDescent="0.2">
      <c r="A726" s="9">
        <v>725</v>
      </c>
      <c r="B726" s="3" t="s">
        <v>191</v>
      </c>
      <c r="C726" s="3" t="s">
        <v>190</v>
      </c>
      <c r="D726" s="3" t="s">
        <v>124</v>
      </c>
      <c r="E726" s="10">
        <f ca="1">TODAY()-1192</f>
        <v>43030</v>
      </c>
      <c r="F726" s="4" t="b">
        <v>0</v>
      </c>
      <c r="G726" s="11">
        <v>433100</v>
      </c>
      <c r="H726" s="12" t="s">
        <v>217</v>
      </c>
    </row>
    <row r="727" spans="1:8" x14ac:dyDescent="0.2">
      <c r="A727" s="9">
        <v>726</v>
      </c>
      <c r="B727" s="3" t="s">
        <v>143</v>
      </c>
      <c r="C727" s="3" t="s">
        <v>142</v>
      </c>
      <c r="D727" s="3" t="s">
        <v>121</v>
      </c>
      <c r="E727" s="10">
        <f ca="1">TODAY()-1181</f>
        <v>43041</v>
      </c>
      <c r="F727" s="4" t="b">
        <v>0</v>
      </c>
      <c r="G727" s="11">
        <v>241400</v>
      </c>
      <c r="H727" s="12" t="s">
        <v>220</v>
      </c>
    </row>
    <row r="728" spans="1:8" x14ac:dyDescent="0.2">
      <c r="A728" s="9">
        <v>727</v>
      </c>
      <c r="B728" s="3" t="s">
        <v>139</v>
      </c>
      <c r="C728" s="3" t="s">
        <v>145</v>
      </c>
      <c r="D728" s="3" t="s">
        <v>124</v>
      </c>
      <c r="E728" s="10">
        <f ca="1">TODAY()-1179</f>
        <v>43043</v>
      </c>
      <c r="F728" s="4" t="b">
        <v>0</v>
      </c>
      <c r="G728" s="11">
        <v>262400</v>
      </c>
      <c r="H728" s="12" t="s">
        <v>217</v>
      </c>
    </row>
    <row r="729" spans="1:8" x14ac:dyDescent="0.2">
      <c r="A729" s="9">
        <v>728</v>
      </c>
      <c r="B729" s="3" t="s">
        <v>123</v>
      </c>
      <c r="C729" s="3" t="s">
        <v>144</v>
      </c>
      <c r="D729" s="3" t="s">
        <v>121</v>
      </c>
      <c r="E729" s="10">
        <f ca="1">TODAY()-1178</f>
        <v>43044</v>
      </c>
      <c r="F729" s="4" t="b">
        <v>1</v>
      </c>
      <c r="G729" s="11">
        <v>269400</v>
      </c>
      <c r="H729" s="12" t="s">
        <v>219</v>
      </c>
    </row>
    <row r="730" spans="1:8" x14ac:dyDescent="0.2">
      <c r="A730" s="9">
        <v>729</v>
      </c>
      <c r="B730" s="3" t="s">
        <v>155</v>
      </c>
      <c r="C730" s="3" t="s">
        <v>174</v>
      </c>
      <c r="D730" s="3" t="s">
        <v>131</v>
      </c>
      <c r="E730" s="10">
        <f ca="1">TODAY()-1171</f>
        <v>43051</v>
      </c>
      <c r="F730" s="4" t="b">
        <v>1</v>
      </c>
      <c r="G730" s="11">
        <v>423300</v>
      </c>
      <c r="H730" s="12" t="s">
        <v>220</v>
      </c>
    </row>
    <row r="731" spans="1:8" x14ac:dyDescent="0.2">
      <c r="A731" s="9">
        <v>730</v>
      </c>
      <c r="B731" s="3" t="s">
        <v>150</v>
      </c>
      <c r="C731" s="3" t="s">
        <v>175</v>
      </c>
      <c r="D731" s="3" t="s">
        <v>121</v>
      </c>
      <c r="E731" s="10">
        <f ca="1">TODAY()-1164</f>
        <v>43058</v>
      </c>
      <c r="F731" s="4" t="b">
        <v>1</v>
      </c>
      <c r="G731" s="11">
        <v>253100</v>
      </c>
      <c r="H731" s="12" t="s">
        <v>220</v>
      </c>
    </row>
    <row r="732" spans="1:8" x14ac:dyDescent="0.2">
      <c r="A732" s="9">
        <v>731</v>
      </c>
      <c r="B732" s="3" t="s">
        <v>155</v>
      </c>
      <c r="C732" s="3" t="s">
        <v>186</v>
      </c>
      <c r="D732" s="3" t="s">
        <v>135</v>
      </c>
      <c r="E732" s="10">
        <f ca="1">TODAY()-1167</f>
        <v>43055</v>
      </c>
      <c r="F732" s="4" t="b">
        <v>0</v>
      </c>
      <c r="G732" s="11">
        <v>293400</v>
      </c>
      <c r="H732" s="12" t="s">
        <v>219</v>
      </c>
    </row>
    <row r="733" spans="1:8" x14ac:dyDescent="0.2">
      <c r="A733" s="9">
        <v>732</v>
      </c>
      <c r="B733" s="3" t="s">
        <v>191</v>
      </c>
      <c r="C733" s="3" t="s">
        <v>190</v>
      </c>
      <c r="D733" s="3" t="s">
        <v>124</v>
      </c>
      <c r="E733" s="10">
        <f ca="1">TODAY()-1163</f>
        <v>43059</v>
      </c>
      <c r="F733" s="4" t="b">
        <v>0</v>
      </c>
      <c r="G733" s="11">
        <v>264800</v>
      </c>
      <c r="H733" s="12" t="s">
        <v>217</v>
      </c>
    </row>
    <row r="734" spans="1:8" x14ac:dyDescent="0.2">
      <c r="A734" s="9">
        <v>733</v>
      </c>
      <c r="B734" s="3" t="s">
        <v>150</v>
      </c>
      <c r="C734" s="3" t="s">
        <v>152</v>
      </c>
      <c r="D734" s="3" t="s">
        <v>135</v>
      </c>
      <c r="E734" s="10">
        <f ca="1">TODAY()-1170</f>
        <v>43052</v>
      </c>
      <c r="F734" s="4" t="b">
        <v>0</v>
      </c>
      <c r="G734" s="11">
        <v>310000</v>
      </c>
      <c r="H734" s="12" t="s">
        <v>219</v>
      </c>
    </row>
    <row r="735" spans="1:8" x14ac:dyDescent="0.2">
      <c r="A735" s="9">
        <v>734</v>
      </c>
      <c r="B735" s="3" t="s">
        <v>133</v>
      </c>
      <c r="C735" s="3" t="s">
        <v>153</v>
      </c>
      <c r="D735" s="3" t="s">
        <v>135</v>
      </c>
      <c r="E735" s="10">
        <f ca="1">TODAY()-1159</f>
        <v>43063</v>
      </c>
      <c r="F735" s="4" t="b">
        <v>0</v>
      </c>
      <c r="G735" s="11">
        <v>284900</v>
      </c>
      <c r="H735" s="12" t="s">
        <v>218</v>
      </c>
    </row>
    <row r="736" spans="1:8" x14ac:dyDescent="0.2">
      <c r="A736" s="9">
        <v>735</v>
      </c>
      <c r="B736" s="3" t="s">
        <v>139</v>
      </c>
      <c r="C736" s="3" t="s">
        <v>176</v>
      </c>
      <c r="D736" s="3" t="s">
        <v>121</v>
      </c>
      <c r="E736" s="10">
        <f ca="1">TODAY()-1159</f>
        <v>43063</v>
      </c>
      <c r="F736" s="4" t="b">
        <v>1</v>
      </c>
      <c r="G736" s="11">
        <v>295500</v>
      </c>
      <c r="H736" s="12" t="s">
        <v>217</v>
      </c>
    </row>
    <row r="737" spans="1:8" x14ac:dyDescent="0.2">
      <c r="A737" s="9">
        <v>736</v>
      </c>
      <c r="B737" s="3" t="s">
        <v>146</v>
      </c>
      <c r="C737" s="3" t="s">
        <v>188</v>
      </c>
      <c r="D737" s="3" t="s">
        <v>121</v>
      </c>
      <c r="E737" s="10">
        <f ca="1">TODAY()-1157</f>
        <v>43065</v>
      </c>
      <c r="F737" s="4" t="b">
        <v>0</v>
      </c>
      <c r="G737" s="11">
        <v>719000</v>
      </c>
      <c r="H737" s="12" t="s">
        <v>218</v>
      </c>
    </row>
    <row r="738" spans="1:8" x14ac:dyDescent="0.2">
      <c r="A738" s="9">
        <v>737</v>
      </c>
      <c r="B738" s="3" t="s">
        <v>146</v>
      </c>
      <c r="C738" s="3" t="s">
        <v>182</v>
      </c>
      <c r="D738" s="3" t="s">
        <v>121</v>
      </c>
      <c r="E738" s="10">
        <f ca="1">TODAY()-1149</f>
        <v>43073</v>
      </c>
      <c r="F738" s="4" t="b">
        <v>0</v>
      </c>
      <c r="G738" s="11">
        <v>265900</v>
      </c>
      <c r="H738" s="12" t="s">
        <v>218</v>
      </c>
    </row>
    <row r="739" spans="1:8" x14ac:dyDescent="0.2">
      <c r="A739" s="9">
        <v>738</v>
      </c>
      <c r="B739" s="3" t="s">
        <v>143</v>
      </c>
      <c r="C739" s="3" t="s">
        <v>206</v>
      </c>
      <c r="D739" s="3" t="s">
        <v>135</v>
      </c>
      <c r="E739" s="10">
        <f ca="1">TODAY()-1152</f>
        <v>43070</v>
      </c>
      <c r="F739" s="4" t="b">
        <v>0</v>
      </c>
      <c r="G739" s="11">
        <v>449100</v>
      </c>
      <c r="H739" s="12" t="s">
        <v>219</v>
      </c>
    </row>
    <row r="740" spans="1:8" x14ac:dyDescent="0.2">
      <c r="A740" s="9">
        <v>739</v>
      </c>
      <c r="B740" s="3" t="s">
        <v>129</v>
      </c>
      <c r="C740" s="3" t="s">
        <v>128</v>
      </c>
      <c r="D740" s="3" t="s">
        <v>124</v>
      </c>
      <c r="E740" s="10">
        <f ca="1">TODAY()-1150</f>
        <v>43072</v>
      </c>
      <c r="F740" s="4" t="b">
        <v>0</v>
      </c>
      <c r="G740" s="11">
        <v>323400</v>
      </c>
      <c r="H740" s="12" t="s">
        <v>217</v>
      </c>
    </row>
    <row r="741" spans="1:8" x14ac:dyDescent="0.2">
      <c r="A741" s="9">
        <v>740</v>
      </c>
      <c r="B741" s="3" t="s">
        <v>143</v>
      </c>
      <c r="C741" s="3" t="s">
        <v>203</v>
      </c>
      <c r="D741" s="3" t="s">
        <v>124</v>
      </c>
      <c r="E741" s="10">
        <f ca="1">TODAY()-1140</f>
        <v>43082</v>
      </c>
      <c r="F741" s="4" t="b">
        <v>1</v>
      </c>
      <c r="G741" s="11">
        <v>252900</v>
      </c>
      <c r="H741" s="12" t="s">
        <v>219</v>
      </c>
    </row>
    <row r="742" spans="1:8" x14ac:dyDescent="0.2">
      <c r="A742" s="9">
        <v>741</v>
      </c>
      <c r="B742" s="3" t="s">
        <v>129</v>
      </c>
      <c r="C742" s="3" t="s">
        <v>130</v>
      </c>
      <c r="D742" s="3" t="s">
        <v>131</v>
      </c>
      <c r="E742" s="10">
        <f ca="1">TODAY()-1135</f>
        <v>43087</v>
      </c>
      <c r="F742" s="4" t="b">
        <v>0</v>
      </c>
      <c r="G742" s="11">
        <v>318300</v>
      </c>
      <c r="H742" s="12" t="s">
        <v>218</v>
      </c>
    </row>
    <row r="743" spans="1:8" x14ac:dyDescent="0.2">
      <c r="A743" s="9">
        <v>742</v>
      </c>
      <c r="B743" s="3" t="s">
        <v>133</v>
      </c>
      <c r="C743" s="3" t="s">
        <v>211</v>
      </c>
      <c r="D743" s="3" t="s">
        <v>124</v>
      </c>
      <c r="E743" s="10">
        <f ca="1">TODAY()-1131</f>
        <v>43091</v>
      </c>
      <c r="F743" s="4" t="b">
        <v>0</v>
      </c>
      <c r="G743" s="11">
        <v>433000</v>
      </c>
      <c r="H743" s="12" t="s">
        <v>219</v>
      </c>
    </row>
    <row r="744" spans="1:8" x14ac:dyDescent="0.2">
      <c r="A744" s="9">
        <v>743</v>
      </c>
      <c r="B744" s="3" t="s">
        <v>143</v>
      </c>
      <c r="C744" s="3" t="s">
        <v>181</v>
      </c>
      <c r="D744" s="3" t="s">
        <v>121</v>
      </c>
      <c r="E744" s="10">
        <f ca="1">TODAY()-1134</f>
        <v>43088</v>
      </c>
      <c r="F744" s="4" t="b">
        <v>0</v>
      </c>
      <c r="G744" s="11">
        <v>398400</v>
      </c>
      <c r="H744" s="12" t="s">
        <v>218</v>
      </c>
    </row>
    <row r="745" spans="1:8" x14ac:dyDescent="0.2">
      <c r="A745" s="9">
        <v>744</v>
      </c>
      <c r="B745" s="3" t="s">
        <v>197</v>
      </c>
      <c r="C745" s="3" t="s">
        <v>196</v>
      </c>
      <c r="D745" s="3" t="s">
        <v>124</v>
      </c>
      <c r="E745" s="10">
        <f ca="1">TODAY()-1131</f>
        <v>43091</v>
      </c>
      <c r="F745" s="4" t="b">
        <v>1</v>
      </c>
      <c r="G745" s="11">
        <v>247200</v>
      </c>
      <c r="H745" s="12" t="s">
        <v>219</v>
      </c>
    </row>
    <row r="746" spans="1:8" x14ac:dyDescent="0.2">
      <c r="A746" s="9">
        <v>745</v>
      </c>
      <c r="B746" s="3" t="s">
        <v>139</v>
      </c>
      <c r="C746" s="3" t="s">
        <v>145</v>
      </c>
      <c r="D746" s="3" t="s">
        <v>124</v>
      </c>
      <c r="E746" s="10">
        <f ca="1">TODAY()-1118</f>
        <v>43104</v>
      </c>
      <c r="F746" s="4" t="b">
        <v>1</v>
      </c>
      <c r="G746" s="11">
        <v>299200</v>
      </c>
      <c r="H746" s="12" t="s">
        <v>217</v>
      </c>
    </row>
    <row r="747" spans="1:8" x14ac:dyDescent="0.2">
      <c r="A747" s="9">
        <v>746</v>
      </c>
      <c r="B747" s="3" t="s">
        <v>129</v>
      </c>
      <c r="C747" s="3" t="s">
        <v>161</v>
      </c>
      <c r="D747" s="3" t="s">
        <v>121</v>
      </c>
      <c r="E747" s="10">
        <f ca="1">TODAY()-1118</f>
        <v>43104</v>
      </c>
      <c r="F747" s="4" t="b">
        <v>0</v>
      </c>
      <c r="G747" s="11">
        <v>771700</v>
      </c>
      <c r="H747" s="12" t="s">
        <v>218</v>
      </c>
    </row>
    <row r="748" spans="1:8" x14ac:dyDescent="0.2">
      <c r="A748" s="9">
        <v>747</v>
      </c>
      <c r="B748" s="3" t="s">
        <v>146</v>
      </c>
      <c r="C748" s="3" t="s">
        <v>198</v>
      </c>
      <c r="D748" s="3" t="s">
        <v>121</v>
      </c>
      <c r="E748" s="10">
        <f ca="1">TODAY()-1109</f>
        <v>43113</v>
      </c>
      <c r="F748" s="4" t="b">
        <v>0</v>
      </c>
      <c r="G748" s="11">
        <v>255000</v>
      </c>
      <c r="H748" s="12" t="s">
        <v>219</v>
      </c>
    </row>
    <row r="749" spans="1:8" x14ac:dyDescent="0.2">
      <c r="A749" s="9">
        <v>748</v>
      </c>
      <c r="B749" s="3" t="s">
        <v>173</v>
      </c>
      <c r="C749" s="3" t="s">
        <v>200</v>
      </c>
      <c r="D749" s="3" t="s">
        <v>135</v>
      </c>
      <c r="E749" s="10">
        <f ca="1">TODAY()-1112</f>
        <v>43110</v>
      </c>
      <c r="F749" s="4" t="b">
        <v>1</v>
      </c>
      <c r="G749" s="11">
        <v>271000</v>
      </c>
      <c r="H749" s="12" t="s">
        <v>219</v>
      </c>
    </row>
    <row r="750" spans="1:8" x14ac:dyDescent="0.2">
      <c r="A750" s="9">
        <v>749</v>
      </c>
      <c r="B750" s="3" t="s">
        <v>137</v>
      </c>
      <c r="C750" s="3" t="s">
        <v>169</v>
      </c>
      <c r="D750" s="3" t="s">
        <v>135</v>
      </c>
      <c r="E750" s="10">
        <f ca="1">TODAY()-1110</f>
        <v>43112</v>
      </c>
      <c r="F750" s="4" t="b">
        <v>0</v>
      </c>
      <c r="G750" s="11">
        <v>444300</v>
      </c>
      <c r="H750" s="12" t="s">
        <v>218</v>
      </c>
    </row>
    <row r="751" spans="1:8" x14ac:dyDescent="0.2">
      <c r="A751" s="9">
        <v>750</v>
      </c>
      <c r="B751" s="3" t="s">
        <v>139</v>
      </c>
      <c r="C751" s="3" t="s">
        <v>138</v>
      </c>
      <c r="D751" s="3" t="s">
        <v>135</v>
      </c>
      <c r="E751" s="10">
        <f ca="1">TODAY()-1106</f>
        <v>43116</v>
      </c>
      <c r="F751" s="4" t="b">
        <v>1</v>
      </c>
      <c r="G751" s="11">
        <v>617100</v>
      </c>
      <c r="H751" s="12" t="s">
        <v>220</v>
      </c>
    </row>
    <row r="752" spans="1:8" x14ac:dyDescent="0.2">
      <c r="A752" s="9">
        <v>751</v>
      </c>
      <c r="B752" s="3" t="s">
        <v>126</v>
      </c>
      <c r="C752" s="3" t="s">
        <v>125</v>
      </c>
      <c r="D752" s="3" t="s">
        <v>127</v>
      </c>
      <c r="E752" s="10">
        <f ca="1">TODAY()-1104</f>
        <v>43118</v>
      </c>
      <c r="F752" s="4" t="b">
        <v>1</v>
      </c>
      <c r="G752" s="11">
        <v>316800</v>
      </c>
      <c r="H752" s="12" t="s">
        <v>219</v>
      </c>
    </row>
    <row r="753" spans="1:8" x14ac:dyDescent="0.2">
      <c r="A753" s="9">
        <v>752</v>
      </c>
      <c r="B753" s="3" t="s">
        <v>123</v>
      </c>
      <c r="C753" s="3" t="s">
        <v>144</v>
      </c>
      <c r="D753" s="3" t="s">
        <v>121</v>
      </c>
      <c r="E753" s="10">
        <f ca="1">TODAY()-1112</f>
        <v>43110</v>
      </c>
      <c r="F753" s="4" t="b">
        <v>0</v>
      </c>
      <c r="G753" s="11">
        <v>272300</v>
      </c>
      <c r="H753" s="12" t="s">
        <v>219</v>
      </c>
    </row>
    <row r="754" spans="1:8" x14ac:dyDescent="0.2">
      <c r="A754" s="9">
        <v>753</v>
      </c>
      <c r="B754" s="3" t="s">
        <v>150</v>
      </c>
      <c r="C754" s="3" t="s">
        <v>168</v>
      </c>
      <c r="D754" s="3" t="s">
        <v>124</v>
      </c>
      <c r="E754" s="10">
        <f ca="1">TODAY()-1103</f>
        <v>43119</v>
      </c>
      <c r="F754" s="4" t="b">
        <v>0</v>
      </c>
      <c r="G754" s="11">
        <v>265400</v>
      </c>
      <c r="H754" s="12" t="s">
        <v>218</v>
      </c>
    </row>
    <row r="755" spans="1:8" x14ac:dyDescent="0.2">
      <c r="A755" s="9">
        <v>754</v>
      </c>
      <c r="B755" s="3" t="s">
        <v>120</v>
      </c>
      <c r="C755" s="3" t="s">
        <v>119</v>
      </c>
      <c r="D755" s="3" t="s">
        <v>121</v>
      </c>
      <c r="E755" s="10">
        <f ca="1">TODAY()-1102</f>
        <v>43120</v>
      </c>
      <c r="F755" s="4" t="b">
        <v>0</v>
      </c>
      <c r="G755" s="11">
        <v>282400</v>
      </c>
      <c r="H755" s="12" t="s">
        <v>217</v>
      </c>
    </row>
    <row r="756" spans="1:8" x14ac:dyDescent="0.2">
      <c r="A756" s="9">
        <v>755</v>
      </c>
      <c r="B756" s="3" t="s">
        <v>146</v>
      </c>
      <c r="C756" s="3" t="s">
        <v>160</v>
      </c>
      <c r="D756" s="3" t="s">
        <v>121</v>
      </c>
      <c r="E756" s="10">
        <f ca="1">TODAY()-1096</f>
        <v>43126</v>
      </c>
      <c r="F756" s="4" t="b">
        <v>1</v>
      </c>
      <c r="G756" s="11">
        <v>254500</v>
      </c>
      <c r="H756" s="12" t="s">
        <v>218</v>
      </c>
    </row>
    <row r="757" spans="1:8" x14ac:dyDescent="0.2">
      <c r="A757" s="9">
        <v>756</v>
      </c>
      <c r="B757" s="3" t="s">
        <v>120</v>
      </c>
      <c r="C757" s="3" t="s">
        <v>195</v>
      </c>
      <c r="D757" s="3" t="s">
        <v>121</v>
      </c>
      <c r="E757" s="10">
        <f ca="1">TODAY()-1094</f>
        <v>43128</v>
      </c>
      <c r="F757" s="4" t="b">
        <v>0</v>
      </c>
      <c r="G757" s="11">
        <v>252500</v>
      </c>
      <c r="H757" s="12" t="s">
        <v>219</v>
      </c>
    </row>
    <row r="758" spans="1:8" x14ac:dyDescent="0.2">
      <c r="A758" s="9">
        <v>757</v>
      </c>
      <c r="B758" s="3" t="s">
        <v>143</v>
      </c>
      <c r="C758" s="3" t="s">
        <v>181</v>
      </c>
      <c r="D758" s="3" t="s">
        <v>121</v>
      </c>
      <c r="E758" s="10">
        <f ca="1">TODAY()-1090</f>
        <v>43132</v>
      </c>
      <c r="F758" s="4" t="b">
        <v>0</v>
      </c>
      <c r="G758" s="11">
        <v>308000</v>
      </c>
      <c r="H758" s="12" t="s">
        <v>218</v>
      </c>
    </row>
    <row r="759" spans="1:8" x14ac:dyDescent="0.2">
      <c r="A759" s="9">
        <v>758</v>
      </c>
      <c r="B759" s="3" t="s">
        <v>133</v>
      </c>
      <c r="C759" s="3" t="s">
        <v>153</v>
      </c>
      <c r="D759" s="3" t="s">
        <v>135</v>
      </c>
      <c r="E759" s="10">
        <f ca="1">TODAY()-1086</f>
        <v>43136</v>
      </c>
      <c r="F759" s="4" t="b">
        <v>1</v>
      </c>
      <c r="G759" s="11">
        <v>290200</v>
      </c>
      <c r="H759" s="12" t="s">
        <v>218</v>
      </c>
    </row>
    <row r="760" spans="1:8" x14ac:dyDescent="0.2">
      <c r="A760" s="9">
        <v>759</v>
      </c>
      <c r="B760" s="3" t="s">
        <v>146</v>
      </c>
      <c r="C760" s="3" t="s">
        <v>201</v>
      </c>
      <c r="D760" s="3" t="s">
        <v>135</v>
      </c>
      <c r="E760" s="10">
        <f ca="1">TODAY()-1085</f>
        <v>43137</v>
      </c>
      <c r="F760" s="4" t="b">
        <v>1</v>
      </c>
      <c r="G760" s="13">
        <v>613700</v>
      </c>
      <c r="H760" s="12" t="s">
        <v>220</v>
      </c>
    </row>
    <row r="761" spans="1:8" x14ac:dyDescent="0.2">
      <c r="A761" s="9">
        <v>760</v>
      </c>
      <c r="B761" s="3" t="s">
        <v>143</v>
      </c>
      <c r="C761" s="3" t="s">
        <v>181</v>
      </c>
      <c r="D761" s="3" t="s">
        <v>121</v>
      </c>
      <c r="E761" s="10">
        <f ca="1">TODAY()-1073</f>
        <v>43149</v>
      </c>
      <c r="F761" s="4" t="b">
        <v>1</v>
      </c>
      <c r="G761" s="11">
        <v>238100</v>
      </c>
      <c r="H761" s="12" t="s">
        <v>218</v>
      </c>
    </row>
    <row r="762" spans="1:8" x14ac:dyDescent="0.2">
      <c r="A762" s="9">
        <v>761</v>
      </c>
      <c r="B762" s="3" t="s">
        <v>148</v>
      </c>
      <c r="C762" s="3" t="s">
        <v>187</v>
      </c>
      <c r="D762" s="3" t="s">
        <v>131</v>
      </c>
      <c r="E762" s="10">
        <f ca="1">TODAY()-1067</f>
        <v>43155</v>
      </c>
      <c r="F762" s="4" t="b">
        <v>0</v>
      </c>
      <c r="G762" s="11">
        <v>284700</v>
      </c>
      <c r="H762" s="12" t="s">
        <v>218</v>
      </c>
    </row>
    <row r="763" spans="1:8" x14ac:dyDescent="0.2">
      <c r="A763" s="9">
        <v>762</v>
      </c>
      <c r="B763" s="3" t="s">
        <v>148</v>
      </c>
      <c r="C763" s="3" t="s">
        <v>147</v>
      </c>
      <c r="D763" s="3" t="s">
        <v>121</v>
      </c>
      <c r="E763" s="10">
        <f ca="1">TODAY()-1069</f>
        <v>43153</v>
      </c>
      <c r="F763" s="4" t="b">
        <v>0</v>
      </c>
      <c r="G763" s="11">
        <v>674300</v>
      </c>
      <c r="H763" s="12" t="s">
        <v>218</v>
      </c>
    </row>
    <row r="764" spans="1:8" x14ac:dyDescent="0.2">
      <c r="A764" s="9">
        <v>763</v>
      </c>
      <c r="B764" s="3" t="s">
        <v>143</v>
      </c>
      <c r="C764" s="3" t="s">
        <v>142</v>
      </c>
      <c r="D764" s="3" t="s">
        <v>121</v>
      </c>
      <c r="E764" s="10">
        <f ca="1">TODAY()-1059</f>
        <v>43163</v>
      </c>
      <c r="F764" s="4" t="b">
        <v>0</v>
      </c>
      <c r="G764" s="11">
        <v>271600</v>
      </c>
      <c r="H764" s="12" t="s">
        <v>220</v>
      </c>
    </row>
    <row r="765" spans="1:8" x14ac:dyDescent="0.2">
      <c r="A765" s="9">
        <v>764</v>
      </c>
      <c r="B765" s="3" t="s">
        <v>120</v>
      </c>
      <c r="C765" s="3" t="s">
        <v>119</v>
      </c>
      <c r="D765" s="3" t="s">
        <v>121</v>
      </c>
      <c r="E765" s="10">
        <f ca="1">TODAY()-1052</f>
        <v>43170</v>
      </c>
      <c r="F765" s="4" t="b">
        <v>0</v>
      </c>
      <c r="G765" s="11">
        <v>280700</v>
      </c>
      <c r="H765" s="12" t="s">
        <v>217</v>
      </c>
    </row>
    <row r="766" spans="1:8" x14ac:dyDescent="0.2">
      <c r="A766" s="9">
        <v>765</v>
      </c>
      <c r="B766" s="3" t="s">
        <v>120</v>
      </c>
      <c r="C766" s="3" t="s">
        <v>170</v>
      </c>
      <c r="D766" s="3" t="s">
        <v>121</v>
      </c>
      <c r="E766" s="10">
        <f ca="1">TODAY()-1052</f>
        <v>43170</v>
      </c>
      <c r="F766" s="4" t="b">
        <v>0</v>
      </c>
      <c r="G766" s="11">
        <v>356100</v>
      </c>
      <c r="H766" s="12" t="s">
        <v>220</v>
      </c>
    </row>
    <row r="767" spans="1:8" x14ac:dyDescent="0.2">
      <c r="A767" s="9">
        <v>766</v>
      </c>
      <c r="B767" s="3" t="s">
        <v>163</v>
      </c>
      <c r="C767" s="3" t="s">
        <v>162</v>
      </c>
      <c r="D767" s="3" t="s">
        <v>127</v>
      </c>
      <c r="E767" s="10">
        <f ca="1">TODAY()-1042</f>
        <v>43180</v>
      </c>
      <c r="F767" s="4" t="b">
        <v>0</v>
      </c>
      <c r="G767" s="11">
        <v>282100</v>
      </c>
      <c r="H767" s="12" t="s">
        <v>217</v>
      </c>
    </row>
    <row r="768" spans="1:8" x14ac:dyDescent="0.2">
      <c r="A768" s="9">
        <v>767</v>
      </c>
      <c r="B768" s="3" t="s">
        <v>155</v>
      </c>
      <c r="C768" s="3" t="s">
        <v>164</v>
      </c>
      <c r="D768" s="3" t="s">
        <v>124</v>
      </c>
      <c r="E768" s="10">
        <f ca="1">TODAY()-1039</f>
        <v>43183</v>
      </c>
      <c r="F768" s="4" t="b">
        <v>1</v>
      </c>
      <c r="G768" s="11">
        <v>251100</v>
      </c>
      <c r="H768" s="12" t="s">
        <v>220</v>
      </c>
    </row>
    <row r="769" spans="1:8" x14ac:dyDescent="0.2">
      <c r="A769" s="9">
        <v>768</v>
      </c>
      <c r="B769" s="3" t="s">
        <v>148</v>
      </c>
      <c r="C769" s="3" t="s">
        <v>147</v>
      </c>
      <c r="D769" s="3" t="s">
        <v>121</v>
      </c>
      <c r="E769" s="10">
        <f ca="1">TODAY()-1036</f>
        <v>43186</v>
      </c>
      <c r="F769" s="4" t="b">
        <v>1</v>
      </c>
      <c r="G769" s="11">
        <v>1054600</v>
      </c>
      <c r="H769" s="12" t="s">
        <v>218</v>
      </c>
    </row>
    <row r="770" spans="1:8" x14ac:dyDescent="0.2">
      <c r="A770" s="9">
        <v>769</v>
      </c>
      <c r="B770" s="3" t="s">
        <v>148</v>
      </c>
      <c r="C770" s="3" t="s">
        <v>187</v>
      </c>
      <c r="D770" s="3" t="s">
        <v>131</v>
      </c>
      <c r="E770" s="10">
        <f ca="1">TODAY()-1031</f>
        <v>43191</v>
      </c>
      <c r="F770" s="4" t="b">
        <v>0</v>
      </c>
      <c r="G770" s="11">
        <v>245700</v>
      </c>
      <c r="H770" s="12" t="s">
        <v>218</v>
      </c>
    </row>
    <row r="771" spans="1:8" x14ac:dyDescent="0.2">
      <c r="A771" s="9">
        <v>770</v>
      </c>
      <c r="B771" s="3" t="s">
        <v>137</v>
      </c>
      <c r="C771" s="3" t="s">
        <v>167</v>
      </c>
      <c r="D771" s="3" t="s">
        <v>135</v>
      </c>
      <c r="E771" s="10">
        <f ca="1">TODAY()-1034</f>
        <v>43188</v>
      </c>
      <c r="F771" s="4" t="b">
        <v>1</v>
      </c>
      <c r="G771" s="11">
        <v>906100</v>
      </c>
      <c r="H771" s="12" t="s">
        <v>218</v>
      </c>
    </row>
    <row r="772" spans="1:8" x14ac:dyDescent="0.2">
      <c r="A772" s="9">
        <v>771</v>
      </c>
      <c r="B772" s="3" t="s">
        <v>139</v>
      </c>
      <c r="C772" s="3" t="s">
        <v>138</v>
      </c>
      <c r="D772" s="3" t="s">
        <v>135</v>
      </c>
      <c r="E772" s="10">
        <f ca="1">TODAY()-1028</f>
        <v>43194</v>
      </c>
      <c r="F772" s="4" t="b">
        <v>0</v>
      </c>
      <c r="G772" s="11">
        <v>433100</v>
      </c>
      <c r="H772" s="12" t="s">
        <v>220</v>
      </c>
    </row>
    <row r="773" spans="1:8" x14ac:dyDescent="0.2">
      <c r="A773" s="9">
        <v>772</v>
      </c>
      <c r="B773" s="3" t="s">
        <v>173</v>
      </c>
      <c r="C773" s="3" t="s">
        <v>185</v>
      </c>
      <c r="D773" s="3" t="s">
        <v>131</v>
      </c>
      <c r="E773" s="10">
        <f ca="1">TODAY()-1027</f>
        <v>43195</v>
      </c>
      <c r="F773" s="4" t="b">
        <v>1</v>
      </c>
      <c r="G773" s="11">
        <v>273700</v>
      </c>
      <c r="H773" s="12" t="s">
        <v>217</v>
      </c>
    </row>
    <row r="774" spans="1:8" x14ac:dyDescent="0.2">
      <c r="A774" s="9">
        <v>773</v>
      </c>
      <c r="B774" s="3" t="s">
        <v>173</v>
      </c>
      <c r="C774" s="3" t="s">
        <v>200</v>
      </c>
      <c r="D774" s="3" t="s">
        <v>135</v>
      </c>
      <c r="E774" s="10">
        <f ca="1">TODAY()-1027</f>
        <v>43195</v>
      </c>
      <c r="F774" s="4" t="b">
        <v>0</v>
      </c>
      <c r="G774" s="11">
        <v>256900</v>
      </c>
      <c r="H774" s="12" t="s">
        <v>219</v>
      </c>
    </row>
    <row r="775" spans="1:8" x14ac:dyDescent="0.2">
      <c r="A775" s="9">
        <v>774</v>
      </c>
      <c r="B775" s="3" t="s">
        <v>155</v>
      </c>
      <c r="C775" s="3" t="s">
        <v>174</v>
      </c>
      <c r="D775" s="3" t="s">
        <v>131</v>
      </c>
      <c r="E775" s="10">
        <f ca="1">TODAY()-1021</f>
        <v>43201</v>
      </c>
      <c r="F775" s="4" t="b">
        <v>1</v>
      </c>
      <c r="G775" s="11">
        <v>402000</v>
      </c>
      <c r="H775" s="12" t="s">
        <v>220</v>
      </c>
    </row>
    <row r="776" spans="1:8" x14ac:dyDescent="0.2">
      <c r="A776" s="9">
        <v>775</v>
      </c>
      <c r="B776" s="3" t="s">
        <v>148</v>
      </c>
      <c r="C776" s="3" t="s">
        <v>147</v>
      </c>
      <c r="D776" s="3" t="s">
        <v>121</v>
      </c>
      <c r="E776" s="10">
        <f ca="1">TODAY()-1020</f>
        <v>43202</v>
      </c>
      <c r="F776" s="4" t="b">
        <v>1</v>
      </c>
      <c r="G776" s="11">
        <v>269300</v>
      </c>
      <c r="H776" s="12" t="s">
        <v>218</v>
      </c>
    </row>
    <row r="777" spans="1:8" x14ac:dyDescent="0.2">
      <c r="A777" s="9">
        <v>776</v>
      </c>
      <c r="B777" s="3" t="s">
        <v>137</v>
      </c>
      <c r="C777" s="3" t="s">
        <v>151</v>
      </c>
      <c r="D777" s="3" t="s">
        <v>135</v>
      </c>
      <c r="E777" s="10">
        <f ca="1">TODAY()-1007</f>
        <v>43215</v>
      </c>
      <c r="F777" s="4" t="b">
        <v>0</v>
      </c>
      <c r="G777" s="11">
        <v>458600</v>
      </c>
      <c r="H777" s="12" t="s">
        <v>219</v>
      </c>
    </row>
    <row r="778" spans="1:8" x14ac:dyDescent="0.2">
      <c r="A778" s="9">
        <v>777</v>
      </c>
      <c r="B778" s="3" t="s">
        <v>197</v>
      </c>
      <c r="C778" s="3" t="s">
        <v>202</v>
      </c>
      <c r="D778" s="3" t="s">
        <v>135</v>
      </c>
      <c r="E778" s="10">
        <f ca="1">TODAY()-1009</f>
        <v>43213</v>
      </c>
      <c r="F778" s="4" t="b">
        <v>1</v>
      </c>
      <c r="G778" s="11">
        <v>241600</v>
      </c>
      <c r="H778" s="12" t="s">
        <v>217</v>
      </c>
    </row>
    <row r="779" spans="1:8" x14ac:dyDescent="0.2">
      <c r="A779" s="9">
        <v>778</v>
      </c>
      <c r="B779" s="3" t="s">
        <v>123</v>
      </c>
      <c r="C779" s="3" t="s">
        <v>122</v>
      </c>
      <c r="D779" s="3" t="s">
        <v>124</v>
      </c>
      <c r="E779" s="10">
        <f ca="1">TODAY()-1007</f>
        <v>43215</v>
      </c>
      <c r="F779" s="4" t="b">
        <v>0</v>
      </c>
      <c r="G779" s="11">
        <v>491400</v>
      </c>
      <c r="H779" s="12" t="s">
        <v>218</v>
      </c>
    </row>
    <row r="780" spans="1:8" x14ac:dyDescent="0.2">
      <c r="A780" s="9">
        <v>779</v>
      </c>
      <c r="B780" s="3" t="s">
        <v>133</v>
      </c>
      <c r="C780" s="3" t="s">
        <v>153</v>
      </c>
      <c r="D780" s="3" t="s">
        <v>135</v>
      </c>
      <c r="E780" s="10">
        <f ca="1">TODAY()-1006</f>
        <v>43216</v>
      </c>
      <c r="F780" s="4" t="b">
        <v>0</v>
      </c>
      <c r="G780" s="11">
        <v>253400</v>
      </c>
      <c r="H780" s="12" t="s">
        <v>218</v>
      </c>
    </row>
    <row r="781" spans="1:8" x14ac:dyDescent="0.2">
      <c r="A781" s="9">
        <v>780</v>
      </c>
      <c r="B781" s="3" t="s">
        <v>120</v>
      </c>
      <c r="C781" s="3" t="s">
        <v>205</v>
      </c>
      <c r="D781" s="3" t="s">
        <v>131</v>
      </c>
      <c r="E781" s="10">
        <f ca="1">TODAY()-1000</f>
        <v>43222</v>
      </c>
      <c r="F781" s="4" t="b">
        <v>1</v>
      </c>
      <c r="G781" s="11">
        <v>298700</v>
      </c>
      <c r="H781" s="12" t="s">
        <v>219</v>
      </c>
    </row>
    <row r="782" spans="1:8" x14ac:dyDescent="0.2">
      <c r="A782" s="9">
        <v>781</v>
      </c>
      <c r="B782" s="3" t="s">
        <v>146</v>
      </c>
      <c r="C782" s="3" t="s">
        <v>177</v>
      </c>
      <c r="D782" s="3" t="s">
        <v>124</v>
      </c>
      <c r="E782" s="10">
        <f ca="1">TODAY()-993</f>
        <v>43229</v>
      </c>
      <c r="F782" s="4" t="b">
        <v>1</v>
      </c>
      <c r="G782" s="11">
        <v>258500</v>
      </c>
      <c r="H782" s="12" t="s">
        <v>217</v>
      </c>
    </row>
    <row r="783" spans="1:8" x14ac:dyDescent="0.2">
      <c r="A783" s="9">
        <v>782</v>
      </c>
      <c r="B783" s="3" t="s">
        <v>120</v>
      </c>
      <c r="C783" s="3" t="s">
        <v>205</v>
      </c>
      <c r="D783" s="3" t="s">
        <v>131</v>
      </c>
      <c r="E783" s="10">
        <f ca="1">TODAY()-995</f>
        <v>43227</v>
      </c>
      <c r="F783" s="4" t="b">
        <v>0</v>
      </c>
      <c r="G783" s="11">
        <v>291900</v>
      </c>
      <c r="H783" s="12" t="s">
        <v>219</v>
      </c>
    </row>
    <row r="784" spans="1:8" x14ac:dyDescent="0.2">
      <c r="A784" s="9">
        <v>783</v>
      </c>
      <c r="B784" s="3" t="s">
        <v>139</v>
      </c>
      <c r="C784" s="3" t="s">
        <v>194</v>
      </c>
      <c r="D784" s="3" t="s">
        <v>121</v>
      </c>
      <c r="E784" s="10">
        <f ca="1">TODAY()-990</f>
        <v>43232</v>
      </c>
      <c r="F784" s="4" t="b">
        <v>0</v>
      </c>
      <c r="G784" s="11">
        <v>248000</v>
      </c>
      <c r="H784" s="12" t="s">
        <v>217</v>
      </c>
    </row>
    <row r="785" spans="1:8" x14ac:dyDescent="0.2">
      <c r="A785" s="9">
        <v>784</v>
      </c>
      <c r="B785" s="3" t="s">
        <v>180</v>
      </c>
      <c r="C785" s="3" t="s">
        <v>179</v>
      </c>
      <c r="D785" s="3" t="s">
        <v>127</v>
      </c>
      <c r="E785" s="10">
        <f ca="1">TODAY()-993</f>
        <v>43229</v>
      </c>
      <c r="F785" s="4" t="b">
        <v>1</v>
      </c>
      <c r="G785" s="11">
        <v>288900</v>
      </c>
      <c r="H785" s="12" t="s">
        <v>220</v>
      </c>
    </row>
    <row r="786" spans="1:8" x14ac:dyDescent="0.2">
      <c r="A786" s="9">
        <v>785</v>
      </c>
      <c r="B786" s="3" t="s">
        <v>126</v>
      </c>
      <c r="C786" s="3" t="s">
        <v>183</v>
      </c>
      <c r="D786" s="3" t="s">
        <v>127</v>
      </c>
      <c r="E786" s="10">
        <f ca="1">TODAY()-988</f>
        <v>43234</v>
      </c>
      <c r="F786" s="4" t="b">
        <v>0</v>
      </c>
      <c r="G786" s="11">
        <v>280000</v>
      </c>
      <c r="H786" s="12" t="s">
        <v>218</v>
      </c>
    </row>
    <row r="787" spans="1:8" x14ac:dyDescent="0.2">
      <c r="A787" s="9">
        <v>786</v>
      </c>
      <c r="B787" s="3" t="s">
        <v>146</v>
      </c>
      <c r="C787" s="3" t="s">
        <v>160</v>
      </c>
      <c r="D787" s="3" t="s">
        <v>121</v>
      </c>
      <c r="E787" s="10">
        <f ca="1">TODAY()-984</f>
        <v>43238</v>
      </c>
      <c r="F787" s="4" t="b">
        <v>0</v>
      </c>
      <c r="G787" s="11">
        <v>852700</v>
      </c>
      <c r="H787" s="12" t="s">
        <v>218</v>
      </c>
    </row>
    <row r="788" spans="1:8" x14ac:dyDescent="0.2">
      <c r="A788" s="9">
        <v>787</v>
      </c>
      <c r="B788" s="3" t="s">
        <v>143</v>
      </c>
      <c r="C788" s="3" t="s">
        <v>206</v>
      </c>
      <c r="D788" s="3" t="s">
        <v>135</v>
      </c>
      <c r="E788" s="10">
        <f ca="1">TODAY()-972</f>
        <v>43250</v>
      </c>
      <c r="F788" s="4" t="b">
        <v>1</v>
      </c>
      <c r="G788" s="11">
        <v>329100</v>
      </c>
      <c r="H788" s="12" t="s">
        <v>219</v>
      </c>
    </row>
    <row r="789" spans="1:8" x14ac:dyDescent="0.2">
      <c r="A789" s="9">
        <v>788</v>
      </c>
      <c r="B789" s="3" t="s">
        <v>143</v>
      </c>
      <c r="C789" s="3" t="s">
        <v>203</v>
      </c>
      <c r="D789" s="3" t="s">
        <v>124</v>
      </c>
      <c r="E789" s="10">
        <f ca="1">TODAY()-971</f>
        <v>43251</v>
      </c>
      <c r="F789" s="4" t="b">
        <v>0</v>
      </c>
      <c r="G789" s="11">
        <v>256000</v>
      </c>
      <c r="H789" s="12" t="s">
        <v>219</v>
      </c>
    </row>
    <row r="790" spans="1:8" x14ac:dyDescent="0.2">
      <c r="A790" s="9">
        <v>789</v>
      </c>
      <c r="B790" s="3" t="s">
        <v>137</v>
      </c>
      <c r="C790" s="3" t="s">
        <v>151</v>
      </c>
      <c r="D790" s="3" t="s">
        <v>135</v>
      </c>
      <c r="E790" s="10">
        <f ca="1">TODAY()-972</f>
        <v>43250</v>
      </c>
      <c r="F790" s="4" t="b">
        <v>0</v>
      </c>
      <c r="G790" s="11">
        <v>858300</v>
      </c>
      <c r="H790" s="12" t="s">
        <v>219</v>
      </c>
    </row>
    <row r="791" spans="1:8" x14ac:dyDescent="0.2">
      <c r="A791" s="9">
        <v>790</v>
      </c>
      <c r="B791" s="3" t="s">
        <v>146</v>
      </c>
      <c r="C791" s="3" t="s">
        <v>188</v>
      </c>
      <c r="D791" s="3" t="s">
        <v>121</v>
      </c>
      <c r="E791" s="10">
        <f ca="1">TODAY()-963</f>
        <v>43259</v>
      </c>
      <c r="F791" s="4" t="b">
        <v>0</v>
      </c>
      <c r="G791" s="11">
        <v>280700</v>
      </c>
      <c r="H791" s="12" t="s">
        <v>218</v>
      </c>
    </row>
    <row r="792" spans="1:8" x14ac:dyDescent="0.2">
      <c r="A792" s="9">
        <v>791</v>
      </c>
      <c r="B792" s="3" t="s">
        <v>197</v>
      </c>
      <c r="C792" s="3" t="s">
        <v>196</v>
      </c>
      <c r="D792" s="3" t="s">
        <v>124</v>
      </c>
      <c r="E792" s="10">
        <f ca="1">TODAY()-957</f>
        <v>43265</v>
      </c>
      <c r="F792" s="4" t="b">
        <v>0</v>
      </c>
      <c r="G792" s="11">
        <v>815500</v>
      </c>
      <c r="H792" s="12" t="s">
        <v>219</v>
      </c>
    </row>
    <row r="793" spans="1:8" x14ac:dyDescent="0.2">
      <c r="A793" s="9">
        <v>792</v>
      </c>
      <c r="B793" s="3" t="s">
        <v>139</v>
      </c>
      <c r="C793" s="3" t="s">
        <v>138</v>
      </c>
      <c r="D793" s="3" t="s">
        <v>135</v>
      </c>
      <c r="E793" s="10">
        <f ca="1">TODAY()-951</f>
        <v>43271</v>
      </c>
      <c r="F793" s="4" t="b">
        <v>0</v>
      </c>
      <c r="G793" s="11">
        <v>439500</v>
      </c>
      <c r="H793" s="12" t="s">
        <v>220</v>
      </c>
    </row>
    <row r="794" spans="1:8" x14ac:dyDescent="0.2">
      <c r="A794" s="9">
        <v>793</v>
      </c>
      <c r="B794" s="3" t="s">
        <v>120</v>
      </c>
      <c r="C794" s="3" t="s">
        <v>165</v>
      </c>
      <c r="D794" s="3" t="s">
        <v>131</v>
      </c>
      <c r="E794" s="10">
        <f ca="1">TODAY()-949</f>
        <v>43273</v>
      </c>
      <c r="F794" s="4" t="b">
        <v>0</v>
      </c>
      <c r="G794" s="11">
        <v>896600</v>
      </c>
      <c r="H794" s="12" t="s">
        <v>217</v>
      </c>
    </row>
    <row r="795" spans="1:8" x14ac:dyDescent="0.2">
      <c r="A795" s="9">
        <v>794</v>
      </c>
      <c r="B795" s="3" t="s">
        <v>126</v>
      </c>
      <c r="C795" s="3" t="s">
        <v>183</v>
      </c>
      <c r="D795" s="3" t="s">
        <v>127</v>
      </c>
      <c r="E795" s="10">
        <f ca="1">TODAY()-951</f>
        <v>43271</v>
      </c>
      <c r="F795" s="4" t="b">
        <v>0</v>
      </c>
      <c r="G795" s="11">
        <v>262100</v>
      </c>
      <c r="H795" s="12" t="s">
        <v>218</v>
      </c>
    </row>
    <row r="796" spans="1:8" x14ac:dyDescent="0.2">
      <c r="A796" s="9">
        <v>795</v>
      </c>
      <c r="B796" s="3" t="s">
        <v>146</v>
      </c>
      <c r="C796" s="3" t="s">
        <v>201</v>
      </c>
      <c r="D796" s="3" t="s">
        <v>135</v>
      </c>
      <c r="E796" s="10">
        <f ca="1">TODAY()-950</f>
        <v>43272</v>
      </c>
      <c r="F796" s="4" t="b">
        <v>0</v>
      </c>
      <c r="G796" s="11">
        <v>275900</v>
      </c>
      <c r="H796" s="12" t="s">
        <v>220</v>
      </c>
    </row>
    <row r="797" spans="1:8" x14ac:dyDescent="0.2">
      <c r="A797" s="9">
        <v>796</v>
      </c>
      <c r="B797" s="3" t="s">
        <v>148</v>
      </c>
      <c r="C797" s="3" t="s">
        <v>210</v>
      </c>
      <c r="D797" s="3" t="s">
        <v>131</v>
      </c>
      <c r="E797" s="10">
        <f ca="1">TODAY()-941</f>
        <v>43281</v>
      </c>
      <c r="F797" s="4" t="b">
        <v>0</v>
      </c>
      <c r="G797" s="11">
        <v>255800</v>
      </c>
      <c r="H797" s="12" t="s">
        <v>219</v>
      </c>
    </row>
    <row r="798" spans="1:8" x14ac:dyDescent="0.2">
      <c r="A798" s="9">
        <v>797</v>
      </c>
      <c r="B798" s="3" t="s">
        <v>139</v>
      </c>
      <c r="C798" s="3" t="s">
        <v>192</v>
      </c>
      <c r="D798" s="3" t="s">
        <v>121</v>
      </c>
      <c r="E798" s="10">
        <f ca="1">TODAY()-943</f>
        <v>43279</v>
      </c>
      <c r="F798" s="4" t="b">
        <v>1</v>
      </c>
      <c r="G798" s="11">
        <v>602900</v>
      </c>
      <c r="H798" s="12" t="s">
        <v>219</v>
      </c>
    </row>
    <row r="799" spans="1:8" x14ac:dyDescent="0.2">
      <c r="A799" s="9">
        <v>798</v>
      </c>
      <c r="B799" s="3" t="s">
        <v>180</v>
      </c>
      <c r="C799" s="3" t="s">
        <v>179</v>
      </c>
      <c r="D799" s="3" t="s">
        <v>127</v>
      </c>
      <c r="E799" s="10">
        <f ca="1">TODAY()-941</f>
        <v>43281</v>
      </c>
      <c r="F799" s="4" t="b">
        <v>0</v>
      </c>
      <c r="G799" s="11">
        <v>1025300</v>
      </c>
      <c r="H799" s="12" t="s">
        <v>220</v>
      </c>
    </row>
    <row r="800" spans="1:8" x14ac:dyDescent="0.2">
      <c r="A800" s="9">
        <v>799</v>
      </c>
      <c r="B800" s="3" t="s">
        <v>191</v>
      </c>
      <c r="C800" s="3" t="s">
        <v>204</v>
      </c>
      <c r="D800" s="3" t="s">
        <v>135</v>
      </c>
      <c r="E800" s="10">
        <f ca="1">TODAY()-944</f>
        <v>43278</v>
      </c>
      <c r="F800" s="4" t="b">
        <v>1</v>
      </c>
      <c r="G800" s="11">
        <v>666300</v>
      </c>
      <c r="H800" s="12" t="s">
        <v>220</v>
      </c>
    </row>
    <row r="801" spans="1:8" x14ac:dyDescent="0.2">
      <c r="A801" s="9">
        <v>800</v>
      </c>
      <c r="B801" s="3" t="s">
        <v>139</v>
      </c>
      <c r="C801" s="3" t="s">
        <v>145</v>
      </c>
      <c r="D801" s="3" t="s">
        <v>124</v>
      </c>
      <c r="E801" s="10">
        <f ca="1">TODAY()-936</f>
        <v>43286</v>
      </c>
      <c r="F801" s="4" t="b">
        <v>0</v>
      </c>
      <c r="G801" s="11">
        <v>414000</v>
      </c>
      <c r="H801" s="12" t="s">
        <v>217</v>
      </c>
    </row>
    <row r="802" spans="1:8" x14ac:dyDescent="0.2">
      <c r="A802" s="9">
        <v>801</v>
      </c>
      <c r="B802" s="3" t="s">
        <v>150</v>
      </c>
      <c r="C802" s="3" t="s">
        <v>152</v>
      </c>
      <c r="D802" s="3" t="s">
        <v>135</v>
      </c>
      <c r="E802" s="10">
        <f ca="1">TODAY()-939</f>
        <v>43283</v>
      </c>
      <c r="F802" s="4" t="b">
        <v>1</v>
      </c>
      <c r="G802" s="11">
        <v>278000</v>
      </c>
      <c r="H802" s="12" t="s">
        <v>219</v>
      </c>
    </row>
    <row r="803" spans="1:8" x14ac:dyDescent="0.2">
      <c r="A803" s="9">
        <v>802</v>
      </c>
      <c r="B803" s="3" t="s">
        <v>173</v>
      </c>
      <c r="C803" s="3" t="s">
        <v>185</v>
      </c>
      <c r="D803" s="3" t="s">
        <v>131</v>
      </c>
      <c r="E803" s="10">
        <f ca="1">TODAY()-934</f>
        <v>43288</v>
      </c>
      <c r="F803" s="4" t="b">
        <v>0</v>
      </c>
      <c r="G803" s="11">
        <v>258000</v>
      </c>
      <c r="H803" s="12" t="s">
        <v>217</v>
      </c>
    </row>
    <row r="804" spans="1:8" x14ac:dyDescent="0.2">
      <c r="A804" s="9">
        <v>803</v>
      </c>
      <c r="B804" s="3" t="s">
        <v>191</v>
      </c>
      <c r="C804" s="3" t="s">
        <v>199</v>
      </c>
      <c r="D804" s="3" t="s">
        <v>135</v>
      </c>
      <c r="E804" s="10">
        <f ca="1">TODAY()-937</f>
        <v>43285</v>
      </c>
      <c r="F804" s="4" t="b">
        <v>0</v>
      </c>
      <c r="G804" s="11">
        <v>608300</v>
      </c>
      <c r="H804" s="12" t="s">
        <v>218</v>
      </c>
    </row>
    <row r="805" spans="1:8" x14ac:dyDescent="0.2">
      <c r="A805" s="9">
        <v>804</v>
      </c>
      <c r="B805" s="3" t="s">
        <v>139</v>
      </c>
      <c r="C805" s="3" t="s">
        <v>141</v>
      </c>
      <c r="D805" s="3" t="s">
        <v>124</v>
      </c>
      <c r="E805" s="10">
        <f ca="1">TODAY()-921</f>
        <v>43301</v>
      </c>
      <c r="F805" s="4" t="b">
        <v>1</v>
      </c>
      <c r="G805" s="11">
        <v>256100</v>
      </c>
      <c r="H805" s="12" t="s">
        <v>220</v>
      </c>
    </row>
    <row r="806" spans="1:8" x14ac:dyDescent="0.2">
      <c r="A806" s="9">
        <v>805</v>
      </c>
      <c r="B806" s="3" t="s">
        <v>120</v>
      </c>
      <c r="C806" s="3" t="s">
        <v>170</v>
      </c>
      <c r="D806" s="3" t="s">
        <v>121</v>
      </c>
      <c r="E806" s="10">
        <f ca="1">TODAY()-914</f>
        <v>43308</v>
      </c>
      <c r="F806" s="4" t="b">
        <v>1</v>
      </c>
      <c r="G806" s="11">
        <v>239200</v>
      </c>
      <c r="H806" s="12" t="s">
        <v>220</v>
      </c>
    </row>
    <row r="807" spans="1:8" x14ac:dyDescent="0.2">
      <c r="A807" s="9">
        <v>806</v>
      </c>
      <c r="B807" s="3" t="s">
        <v>123</v>
      </c>
      <c r="C807" s="3" t="s">
        <v>122</v>
      </c>
      <c r="D807" s="3" t="s">
        <v>124</v>
      </c>
      <c r="E807" s="10">
        <f ca="1">TODAY()-918</f>
        <v>43304</v>
      </c>
      <c r="F807" s="4" t="b">
        <v>0</v>
      </c>
      <c r="G807" s="11">
        <v>265000</v>
      </c>
      <c r="H807" s="12" t="s">
        <v>218</v>
      </c>
    </row>
    <row r="808" spans="1:8" x14ac:dyDescent="0.2">
      <c r="A808" s="9">
        <v>807</v>
      </c>
      <c r="B808" s="3" t="s">
        <v>133</v>
      </c>
      <c r="C808" s="3" t="s">
        <v>153</v>
      </c>
      <c r="D808" s="3" t="s">
        <v>135</v>
      </c>
      <c r="E808" s="10">
        <f ca="1">TODAY()-918</f>
        <v>43304</v>
      </c>
      <c r="F808" s="4" t="b">
        <v>0</v>
      </c>
      <c r="G808" s="11">
        <v>290700</v>
      </c>
      <c r="H808" s="12" t="s">
        <v>218</v>
      </c>
    </row>
    <row r="809" spans="1:8" x14ac:dyDescent="0.2">
      <c r="A809" s="9">
        <v>808</v>
      </c>
      <c r="B809" s="3" t="s">
        <v>146</v>
      </c>
      <c r="C809" s="3" t="s">
        <v>182</v>
      </c>
      <c r="D809" s="3" t="s">
        <v>121</v>
      </c>
      <c r="E809" s="10">
        <f ca="1">TODAY()-908</f>
        <v>43314</v>
      </c>
      <c r="F809" s="4" t="b">
        <v>0</v>
      </c>
      <c r="G809" s="11">
        <v>298100</v>
      </c>
      <c r="H809" s="12" t="s">
        <v>218</v>
      </c>
    </row>
    <row r="810" spans="1:8" x14ac:dyDescent="0.2">
      <c r="A810" s="9">
        <v>809</v>
      </c>
      <c r="B810" s="3" t="s">
        <v>150</v>
      </c>
      <c r="C810" s="3" t="s">
        <v>149</v>
      </c>
      <c r="D810" s="3" t="s">
        <v>124</v>
      </c>
      <c r="E810" s="10">
        <f ca="1">TODAY()-906</f>
        <v>43316</v>
      </c>
      <c r="F810" s="4" t="b">
        <v>0</v>
      </c>
      <c r="G810" s="11">
        <v>287600</v>
      </c>
      <c r="H810" s="12" t="s">
        <v>217</v>
      </c>
    </row>
    <row r="811" spans="1:8" x14ac:dyDescent="0.2">
      <c r="A811" s="9">
        <v>810</v>
      </c>
      <c r="B811" s="3" t="s">
        <v>129</v>
      </c>
      <c r="C811" s="3" t="s">
        <v>128</v>
      </c>
      <c r="D811" s="3" t="s">
        <v>124</v>
      </c>
      <c r="E811" s="10">
        <f ca="1">TODAY()-903</f>
        <v>43319</v>
      </c>
      <c r="F811" s="4" t="b">
        <v>0</v>
      </c>
      <c r="G811" s="11">
        <v>350900</v>
      </c>
      <c r="H811" s="12" t="s">
        <v>217</v>
      </c>
    </row>
    <row r="812" spans="1:8" x14ac:dyDescent="0.2">
      <c r="A812" s="9">
        <v>811</v>
      </c>
      <c r="B812" s="3" t="s">
        <v>155</v>
      </c>
      <c r="C812" s="3" t="s">
        <v>193</v>
      </c>
      <c r="D812" s="3" t="s">
        <v>124</v>
      </c>
      <c r="E812" s="10">
        <f ca="1">TODAY()-903</f>
        <v>43319</v>
      </c>
      <c r="F812" s="4" t="b">
        <v>0</v>
      </c>
      <c r="G812" s="11">
        <v>264000</v>
      </c>
      <c r="H812" s="12" t="s">
        <v>218</v>
      </c>
    </row>
    <row r="813" spans="1:8" x14ac:dyDescent="0.2">
      <c r="A813" s="9">
        <v>812</v>
      </c>
      <c r="B813" s="3" t="s">
        <v>146</v>
      </c>
      <c r="C813" s="3" t="s">
        <v>188</v>
      </c>
      <c r="D813" s="3" t="s">
        <v>121</v>
      </c>
      <c r="E813" s="10">
        <f ca="1">TODAY()-898</f>
        <v>43324</v>
      </c>
      <c r="F813" s="4" t="b">
        <v>0</v>
      </c>
      <c r="G813" s="11">
        <v>290100</v>
      </c>
      <c r="H813" s="12" t="s">
        <v>218</v>
      </c>
    </row>
    <row r="814" spans="1:8" x14ac:dyDescent="0.2">
      <c r="A814" s="9">
        <v>813</v>
      </c>
      <c r="B814" s="3" t="s">
        <v>139</v>
      </c>
      <c r="C814" s="3" t="s">
        <v>192</v>
      </c>
      <c r="D814" s="3" t="s">
        <v>121</v>
      </c>
      <c r="E814" s="10">
        <f ca="1">TODAY()-893</f>
        <v>43329</v>
      </c>
      <c r="F814" s="4" t="b">
        <v>0</v>
      </c>
      <c r="G814" s="11">
        <v>399700</v>
      </c>
      <c r="H814" s="12" t="s">
        <v>219</v>
      </c>
    </row>
    <row r="815" spans="1:8" x14ac:dyDescent="0.2">
      <c r="A815" s="9">
        <v>814</v>
      </c>
      <c r="B815" s="3" t="s">
        <v>146</v>
      </c>
      <c r="C815" s="3" t="s">
        <v>201</v>
      </c>
      <c r="D815" s="3" t="s">
        <v>135</v>
      </c>
      <c r="E815" s="10">
        <f ca="1">TODAY()-891</f>
        <v>43331</v>
      </c>
      <c r="F815" s="4" t="b">
        <v>1</v>
      </c>
      <c r="G815" s="11">
        <v>260200</v>
      </c>
      <c r="H815" s="12" t="s">
        <v>220</v>
      </c>
    </row>
    <row r="816" spans="1:8" x14ac:dyDescent="0.2">
      <c r="A816" s="9">
        <v>815</v>
      </c>
      <c r="B816" s="3" t="s">
        <v>133</v>
      </c>
      <c r="C816" s="3" t="s">
        <v>208</v>
      </c>
      <c r="D816" s="3" t="s">
        <v>124</v>
      </c>
      <c r="E816" s="10">
        <f ca="1">TODAY()-887</f>
        <v>43335</v>
      </c>
      <c r="F816" s="4" t="b">
        <v>1</v>
      </c>
      <c r="G816" s="11">
        <v>273600</v>
      </c>
      <c r="H816" s="12" t="s">
        <v>217</v>
      </c>
    </row>
    <row r="817" spans="1:8" x14ac:dyDescent="0.2">
      <c r="A817" s="9">
        <v>816</v>
      </c>
      <c r="B817" s="3" t="s">
        <v>133</v>
      </c>
      <c r="C817" s="3" t="s">
        <v>171</v>
      </c>
      <c r="D817" s="3" t="s">
        <v>131</v>
      </c>
      <c r="E817" s="10">
        <f ca="1">TODAY()-882</f>
        <v>43340</v>
      </c>
      <c r="F817" s="4" t="b">
        <v>0</v>
      </c>
      <c r="G817" s="11">
        <v>284500</v>
      </c>
      <c r="H817" s="12" t="s">
        <v>217</v>
      </c>
    </row>
    <row r="818" spans="1:8" x14ac:dyDescent="0.2">
      <c r="A818" s="9">
        <v>817</v>
      </c>
      <c r="B818" s="3" t="s">
        <v>150</v>
      </c>
      <c r="C818" s="3" t="s">
        <v>149</v>
      </c>
      <c r="D818" s="3" t="s">
        <v>124</v>
      </c>
      <c r="E818" s="10">
        <f ca="1">TODAY()-886</f>
        <v>43336</v>
      </c>
      <c r="F818" s="4" t="b">
        <v>0</v>
      </c>
      <c r="G818" s="11">
        <v>238300</v>
      </c>
      <c r="H818" s="12" t="s">
        <v>217</v>
      </c>
    </row>
    <row r="819" spans="1:8" x14ac:dyDescent="0.2">
      <c r="A819" s="9">
        <v>818</v>
      </c>
      <c r="B819" s="3" t="s">
        <v>150</v>
      </c>
      <c r="C819" s="3" t="s">
        <v>168</v>
      </c>
      <c r="D819" s="3" t="s">
        <v>124</v>
      </c>
      <c r="E819" s="10">
        <f ca="1">TODAY()-890</f>
        <v>43332</v>
      </c>
      <c r="F819" s="4" t="b">
        <v>0</v>
      </c>
      <c r="G819" s="11">
        <v>240200</v>
      </c>
      <c r="H819" s="12" t="s">
        <v>218</v>
      </c>
    </row>
    <row r="820" spans="1:8" x14ac:dyDescent="0.2">
      <c r="A820" s="9">
        <v>819</v>
      </c>
      <c r="B820" s="3" t="s">
        <v>146</v>
      </c>
      <c r="C820" s="3" t="s">
        <v>188</v>
      </c>
      <c r="D820" s="3" t="s">
        <v>121</v>
      </c>
      <c r="E820" s="10">
        <f ca="1">TODAY()-882</f>
        <v>43340</v>
      </c>
      <c r="F820" s="4" t="b">
        <v>0</v>
      </c>
      <c r="G820" s="11">
        <v>236800</v>
      </c>
      <c r="H820" s="12" t="s">
        <v>218</v>
      </c>
    </row>
    <row r="821" spans="1:8" x14ac:dyDescent="0.2">
      <c r="A821" s="9">
        <v>820</v>
      </c>
      <c r="B821" s="3" t="s">
        <v>143</v>
      </c>
      <c r="C821" s="3" t="s">
        <v>203</v>
      </c>
      <c r="D821" s="3" t="s">
        <v>124</v>
      </c>
      <c r="E821" s="10">
        <f ca="1">TODAY()-881</f>
        <v>43341</v>
      </c>
      <c r="F821" s="4" t="b">
        <v>0</v>
      </c>
      <c r="G821" s="11">
        <v>294300</v>
      </c>
      <c r="H821" s="12" t="s">
        <v>219</v>
      </c>
    </row>
    <row r="822" spans="1:8" x14ac:dyDescent="0.2">
      <c r="A822" s="9">
        <v>821</v>
      </c>
      <c r="B822" s="3" t="s">
        <v>143</v>
      </c>
      <c r="C822" s="3" t="s">
        <v>203</v>
      </c>
      <c r="D822" s="3" t="s">
        <v>124</v>
      </c>
      <c r="E822" s="10">
        <f ca="1">TODAY()-882</f>
        <v>43340</v>
      </c>
      <c r="F822" s="4" t="b">
        <v>0</v>
      </c>
      <c r="G822" s="11">
        <v>707800</v>
      </c>
      <c r="H822" s="12" t="s">
        <v>219</v>
      </c>
    </row>
    <row r="823" spans="1:8" x14ac:dyDescent="0.2">
      <c r="A823" s="9">
        <v>822</v>
      </c>
      <c r="B823" s="3" t="s">
        <v>150</v>
      </c>
      <c r="C823" s="3" t="s">
        <v>168</v>
      </c>
      <c r="D823" s="3" t="s">
        <v>124</v>
      </c>
      <c r="E823" s="10">
        <f ca="1">TODAY()-870</f>
        <v>43352</v>
      </c>
      <c r="F823" s="4" t="b">
        <v>0</v>
      </c>
      <c r="G823" s="11">
        <v>280500</v>
      </c>
      <c r="H823" s="12" t="s">
        <v>218</v>
      </c>
    </row>
    <row r="824" spans="1:8" x14ac:dyDescent="0.2">
      <c r="A824" s="9">
        <v>823</v>
      </c>
      <c r="B824" s="3" t="s">
        <v>173</v>
      </c>
      <c r="C824" s="3" t="s">
        <v>185</v>
      </c>
      <c r="D824" s="3" t="s">
        <v>131</v>
      </c>
      <c r="E824" s="10">
        <f ca="1">TODAY()-873</f>
        <v>43349</v>
      </c>
      <c r="F824" s="4" t="b">
        <v>0</v>
      </c>
      <c r="G824" s="11">
        <v>324100</v>
      </c>
      <c r="H824" s="12" t="s">
        <v>217</v>
      </c>
    </row>
    <row r="825" spans="1:8" x14ac:dyDescent="0.2">
      <c r="A825" s="9">
        <v>824</v>
      </c>
      <c r="B825" s="3" t="s">
        <v>191</v>
      </c>
      <c r="C825" s="3" t="s">
        <v>190</v>
      </c>
      <c r="D825" s="3" t="s">
        <v>124</v>
      </c>
      <c r="E825" s="10">
        <f ca="1">TODAY()-867</f>
        <v>43355</v>
      </c>
      <c r="F825" s="4" t="b">
        <v>0</v>
      </c>
      <c r="G825" s="11">
        <v>325700</v>
      </c>
      <c r="H825" s="12" t="s">
        <v>217</v>
      </c>
    </row>
    <row r="826" spans="1:8" x14ac:dyDescent="0.2">
      <c r="A826" s="9">
        <v>825</v>
      </c>
      <c r="B826" s="3" t="s">
        <v>146</v>
      </c>
      <c r="C826" s="3" t="s">
        <v>182</v>
      </c>
      <c r="D826" s="3" t="s">
        <v>121</v>
      </c>
      <c r="E826" s="10">
        <f ca="1">TODAY()-874</f>
        <v>43348</v>
      </c>
      <c r="F826" s="4" t="b">
        <v>0</v>
      </c>
      <c r="G826" s="11">
        <v>421400</v>
      </c>
      <c r="H826" s="12" t="s">
        <v>218</v>
      </c>
    </row>
    <row r="827" spans="1:8" x14ac:dyDescent="0.2">
      <c r="A827" s="9">
        <v>826</v>
      </c>
      <c r="B827" s="3" t="s">
        <v>143</v>
      </c>
      <c r="C827" s="3" t="s">
        <v>206</v>
      </c>
      <c r="D827" s="3" t="s">
        <v>135</v>
      </c>
      <c r="E827" s="10">
        <f ca="1">TODAY()-870</f>
        <v>43352</v>
      </c>
      <c r="F827" s="4" t="b">
        <v>1</v>
      </c>
      <c r="G827" s="11">
        <v>240900</v>
      </c>
      <c r="H827" s="12" t="s">
        <v>219</v>
      </c>
    </row>
    <row r="828" spans="1:8" x14ac:dyDescent="0.2">
      <c r="A828" s="9">
        <v>827</v>
      </c>
      <c r="B828" s="3" t="s">
        <v>120</v>
      </c>
      <c r="C828" s="3" t="s">
        <v>156</v>
      </c>
      <c r="D828" s="3" t="s">
        <v>121</v>
      </c>
      <c r="E828" s="10">
        <f ca="1">TODAY()-869</f>
        <v>43353</v>
      </c>
      <c r="F828" s="4" t="b">
        <v>0</v>
      </c>
      <c r="G828" s="11">
        <v>261600</v>
      </c>
      <c r="H828" s="12" t="s">
        <v>220</v>
      </c>
    </row>
    <row r="829" spans="1:8" x14ac:dyDescent="0.2">
      <c r="A829" s="9">
        <v>828</v>
      </c>
      <c r="B829" s="3" t="s">
        <v>155</v>
      </c>
      <c r="C829" s="3" t="s">
        <v>186</v>
      </c>
      <c r="D829" s="3" t="s">
        <v>135</v>
      </c>
      <c r="E829" s="10">
        <f ca="1">TODAY()-863</f>
        <v>43359</v>
      </c>
      <c r="F829" s="4" t="b">
        <v>1</v>
      </c>
      <c r="G829" s="11">
        <v>415300</v>
      </c>
      <c r="H829" s="12" t="s">
        <v>219</v>
      </c>
    </row>
    <row r="830" spans="1:8" x14ac:dyDescent="0.2">
      <c r="A830" s="9">
        <v>829</v>
      </c>
      <c r="B830" s="3" t="s">
        <v>148</v>
      </c>
      <c r="C830" s="3" t="s">
        <v>172</v>
      </c>
      <c r="D830" s="3" t="s">
        <v>121</v>
      </c>
      <c r="E830" s="10">
        <f ca="1">TODAY()-858</f>
        <v>43364</v>
      </c>
      <c r="F830" s="4" t="b">
        <v>1</v>
      </c>
      <c r="G830" s="11">
        <v>272700</v>
      </c>
      <c r="H830" s="12" t="s">
        <v>218</v>
      </c>
    </row>
    <row r="831" spans="1:8" x14ac:dyDescent="0.2">
      <c r="A831" s="9">
        <v>830</v>
      </c>
      <c r="B831" s="3" t="s">
        <v>123</v>
      </c>
      <c r="C831" s="3" t="s">
        <v>189</v>
      </c>
      <c r="D831" s="3" t="s">
        <v>121</v>
      </c>
      <c r="E831" s="10">
        <f ca="1">TODAY()-855</f>
        <v>43367</v>
      </c>
      <c r="F831" s="4" t="b">
        <v>1</v>
      </c>
      <c r="G831" s="11">
        <v>240700</v>
      </c>
      <c r="H831" s="12" t="s">
        <v>218</v>
      </c>
    </row>
    <row r="832" spans="1:8" x14ac:dyDescent="0.2">
      <c r="A832" s="9">
        <v>831</v>
      </c>
      <c r="B832" s="3" t="s">
        <v>143</v>
      </c>
      <c r="C832" s="3" t="s">
        <v>142</v>
      </c>
      <c r="D832" s="3" t="s">
        <v>121</v>
      </c>
      <c r="E832" s="10">
        <f ca="1">TODAY()-861</f>
        <v>43361</v>
      </c>
      <c r="F832" s="4" t="b">
        <v>0</v>
      </c>
      <c r="G832" s="11">
        <v>266700</v>
      </c>
      <c r="H832" s="12" t="s">
        <v>220</v>
      </c>
    </row>
    <row r="833" spans="1:8" x14ac:dyDescent="0.2">
      <c r="A833" s="9">
        <v>832</v>
      </c>
      <c r="B833" s="3" t="s">
        <v>129</v>
      </c>
      <c r="C833" s="3" t="s">
        <v>128</v>
      </c>
      <c r="D833" s="3" t="s">
        <v>124</v>
      </c>
      <c r="E833" s="10">
        <f ca="1">TODAY()-861</f>
        <v>43361</v>
      </c>
      <c r="F833" s="4" t="b">
        <v>0</v>
      </c>
      <c r="G833" s="11">
        <v>285400</v>
      </c>
      <c r="H833" s="12" t="s">
        <v>217</v>
      </c>
    </row>
    <row r="834" spans="1:8" x14ac:dyDescent="0.2">
      <c r="A834" s="9">
        <v>833</v>
      </c>
      <c r="B834" s="3" t="s">
        <v>173</v>
      </c>
      <c r="C834" s="3" t="s">
        <v>185</v>
      </c>
      <c r="D834" s="3" t="s">
        <v>131</v>
      </c>
      <c r="E834" s="10">
        <f ca="1">TODAY()-853</f>
        <v>43369</v>
      </c>
      <c r="F834" s="4" t="b">
        <v>0</v>
      </c>
      <c r="G834" s="11">
        <v>262000</v>
      </c>
      <c r="H834" s="12" t="s">
        <v>217</v>
      </c>
    </row>
    <row r="835" spans="1:8" x14ac:dyDescent="0.2">
      <c r="A835" s="9">
        <v>834</v>
      </c>
      <c r="B835" s="3" t="s">
        <v>129</v>
      </c>
      <c r="C835" s="3" t="s">
        <v>159</v>
      </c>
      <c r="D835" s="3" t="s">
        <v>121</v>
      </c>
      <c r="E835" s="10">
        <f ca="1">TODAY()-849</f>
        <v>43373</v>
      </c>
      <c r="F835" s="4" t="b">
        <v>1</v>
      </c>
      <c r="G835" s="11">
        <v>424500</v>
      </c>
      <c r="H835" s="12" t="s">
        <v>219</v>
      </c>
    </row>
    <row r="836" spans="1:8" x14ac:dyDescent="0.2">
      <c r="A836" s="9">
        <v>835</v>
      </c>
      <c r="B836" s="3" t="s">
        <v>148</v>
      </c>
      <c r="C836" s="3" t="s">
        <v>172</v>
      </c>
      <c r="D836" s="3" t="s">
        <v>121</v>
      </c>
      <c r="E836" s="10">
        <f ca="1">TODAY()-846</f>
        <v>43376</v>
      </c>
      <c r="F836" s="4" t="b">
        <v>0</v>
      </c>
      <c r="G836" s="11">
        <v>292800</v>
      </c>
      <c r="H836" s="12" t="s">
        <v>218</v>
      </c>
    </row>
    <row r="837" spans="1:8" x14ac:dyDescent="0.2">
      <c r="A837" s="9">
        <v>836</v>
      </c>
      <c r="B837" s="3" t="s">
        <v>163</v>
      </c>
      <c r="C837" s="3" t="s">
        <v>162</v>
      </c>
      <c r="D837" s="3" t="s">
        <v>127</v>
      </c>
      <c r="E837" s="10">
        <f ca="1">TODAY()-844</f>
        <v>43378</v>
      </c>
      <c r="F837" s="4" t="b">
        <v>1</v>
      </c>
      <c r="G837" s="11">
        <v>263400</v>
      </c>
      <c r="H837" s="12" t="s">
        <v>217</v>
      </c>
    </row>
    <row r="838" spans="1:8" x14ac:dyDescent="0.2">
      <c r="A838" s="9">
        <v>837</v>
      </c>
      <c r="B838" s="3" t="s">
        <v>146</v>
      </c>
      <c r="C838" s="3" t="s">
        <v>182</v>
      </c>
      <c r="D838" s="3" t="s">
        <v>121</v>
      </c>
      <c r="E838" s="10">
        <f ca="1">TODAY()-840</f>
        <v>43382</v>
      </c>
      <c r="F838" s="4" t="b">
        <v>0</v>
      </c>
      <c r="G838" s="11">
        <v>242200</v>
      </c>
      <c r="H838" s="12" t="s">
        <v>218</v>
      </c>
    </row>
    <row r="839" spans="1:8" x14ac:dyDescent="0.2">
      <c r="A839" s="9">
        <v>838</v>
      </c>
      <c r="B839" s="3" t="s">
        <v>146</v>
      </c>
      <c r="C839" s="3" t="s">
        <v>198</v>
      </c>
      <c r="D839" s="3" t="s">
        <v>121</v>
      </c>
      <c r="E839" s="10">
        <f ca="1">TODAY()-842</f>
        <v>43380</v>
      </c>
      <c r="F839" s="4" t="b">
        <v>0</v>
      </c>
      <c r="G839" s="11">
        <v>271100</v>
      </c>
      <c r="H839" s="12" t="s">
        <v>219</v>
      </c>
    </row>
    <row r="840" spans="1:8" x14ac:dyDescent="0.2">
      <c r="A840" s="9">
        <v>839</v>
      </c>
      <c r="B840" s="3" t="s">
        <v>143</v>
      </c>
      <c r="C840" s="3" t="s">
        <v>166</v>
      </c>
      <c r="D840" s="3" t="s">
        <v>121</v>
      </c>
      <c r="E840" s="10">
        <f ca="1">TODAY()-833</f>
        <v>43389</v>
      </c>
      <c r="F840" s="4" t="b">
        <v>0</v>
      </c>
      <c r="G840" s="11">
        <v>251200</v>
      </c>
      <c r="H840" s="12" t="s">
        <v>220</v>
      </c>
    </row>
    <row r="841" spans="1:8" x14ac:dyDescent="0.2">
      <c r="A841" s="9">
        <v>840</v>
      </c>
      <c r="B841" s="3" t="s">
        <v>146</v>
      </c>
      <c r="C841" s="3" t="s">
        <v>198</v>
      </c>
      <c r="D841" s="3" t="s">
        <v>121</v>
      </c>
      <c r="E841" s="10">
        <f ca="1">TODAY()-834</f>
        <v>43388</v>
      </c>
      <c r="F841" s="4" t="b">
        <v>0</v>
      </c>
      <c r="G841" s="11">
        <v>296900</v>
      </c>
      <c r="H841" s="12" t="s">
        <v>219</v>
      </c>
    </row>
    <row r="842" spans="1:8" x14ac:dyDescent="0.2">
      <c r="A842" s="9">
        <v>841</v>
      </c>
      <c r="B842" s="3" t="s">
        <v>129</v>
      </c>
      <c r="C842" s="3" t="s">
        <v>130</v>
      </c>
      <c r="D842" s="3" t="s">
        <v>131</v>
      </c>
      <c r="E842" s="10">
        <f ca="1">TODAY()-826</f>
        <v>43396</v>
      </c>
      <c r="F842" s="4" t="b">
        <v>0</v>
      </c>
      <c r="G842" s="11">
        <v>413500</v>
      </c>
      <c r="H842" s="12" t="s">
        <v>218</v>
      </c>
    </row>
    <row r="843" spans="1:8" x14ac:dyDescent="0.2">
      <c r="A843" s="9">
        <v>842</v>
      </c>
      <c r="B843" s="3" t="s">
        <v>133</v>
      </c>
      <c r="C843" s="3" t="s">
        <v>208</v>
      </c>
      <c r="D843" s="3" t="s">
        <v>124</v>
      </c>
      <c r="E843" s="10">
        <f ca="1">TODAY()-830</f>
        <v>43392</v>
      </c>
      <c r="F843" s="4" t="b">
        <v>1</v>
      </c>
      <c r="G843" s="11">
        <v>721500</v>
      </c>
      <c r="H843" s="12" t="s">
        <v>217</v>
      </c>
    </row>
    <row r="844" spans="1:8" x14ac:dyDescent="0.2">
      <c r="A844" s="9">
        <v>843</v>
      </c>
      <c r="B844" s="3" t="s">
        <v>150</v>
      </c>
      <c r="C844" s="3" t="s">
        <v>149</v>
      </c>
      <c r="D844" s="3" t="s">
        <v>124</v>
      </c>
      <c r="E844" s="10">
        <f ca="1">TODAY()-825</f>
        <v>43397</v>
      </c>
      <c r="F844" s="4" t="b">
        <v>0</v>
      </c>
      <c r="G844" s="11">
        <v>275800</v>
      </c>
      <c r="H844" s="12" t="s">
        <v>217</v>
      </c>
    </row>
    <row r="845" spans="1:8" x14ac:dyDescent="0.2">
      <c r="A845" s="9">
        <v>844</v>
      </c>
      <c r="B845" s="3" t="s">
        <v>191</v>
      </c>
      <c r="C845" s="3" t="s">
        <v>190</v>
      </c>
      <c r="D845" s="3" t="s">
        <v>124</v>
      </c>
      <c r="E845" s="10">
        <f ca="1">TODAY()-822</f>
        <v>43400</v>
      </c>
      <c r="F845" s="4" t="b">
        <v>0</v>
      </c>
      <c r="G845" s="11">
        <v>288500</v>
      </c>
      <c r="H845" s="12" t="s">
        <v>217</v>
      </c>
    </row>
    <row r="846" spans="1:8" x14ac:dyDescent="0.2">
      <c r="A846" s="9">
        <v>845</v>
      </c>
      <c r="B846" s="3" t="s">
        <v>120</v>
      </c>
      <c r="C846" s="3" t="s">
        <v>205</v>
      </c>
      <c r="D846" s="3" t="s">
        <v>131</v>
      </c>
      <c r="E846" s="10">
        <f ca="1">TODAY()-823</f>
        <v>43399</v>
      </c>
      <c r="F846" s="4" t="b">
        <v>1</v>
      </c>
      <c r="G846" s="11">
        <v>243600</v>
      </c>
      <c r="H846" s="12" t="s">
        <v>219</v>
      </c>
    </row>
    <row r="847" spans="1:8" x14ac:dyDescent="0.2">
      <c r="A847" s="9">
        <v>846</v>
      </c>
      <c r="B847" s="3" t="s">
        <v>120</v>
      </c>
      <c r="C847" s="3" t="s">
        <v>195</v>
      </c>
      <c r="D847" s="3" t="s">
        <v>121</v>
      </c>
      <c r="E847" s="10">
        <f ca="1">TODAY()-827</f>
        <v>43395</v>
      </c>
      <c r="F847" s="4" t="b">
        <v>0</v>
      </c>
      <c r="G847" s="13">
        <v>678300</v>
      </c>
      <c r="H847" s="12" t="s">
        <v>219</v>
      </c>
    </row>
    <row r="848" spans="1:8" x14ac:dyDescent="0.2">
      <c r="A848" s="9">
        <v>847</v>
      </c>
      <c r="B848" s="3" t="s">
        <v>137</v>
      </c>
      <c r="C848" s="3" t="s">
        <v>167</v>
      </c>
      <c r="D848" s="3" t="s">
        <v>135</v>
      </c>
      <c r="E848" s="10">
        <f ca="1">TODAY()-817</f>
        <v>43405</v>
      </c>
      <c r="F848" s="4" t="b">
        <v>0</v>
      </c>
      <c r="G848" s="11">
        <v>398400</v>
      </c>
      <c r="H848" s="12" t="s">
        <v>218</v>
      </c>
    </row>
    <row r="849" spans="1:8" x14ac:dyDescent="0.2">
      <c r="A849" s="9">
        <v>848</v>
      </c>
      <c r="B849" s="3" t="s">
        <v>133</v>
      </c>
      <c r="C849" s="3" t="s">
        <v>208</v>
      </c>
      <c r="D849" s="3" t="s">
        <v>124</v>
      </c>
      <c r="E849" s="10">
        <f ca="1">TODAY()-820</f>
        <v>43402</v>
      </c>
      <c r="F849" s="4" t="b">
        <v>1</v>
      </c>
      <c r="G849" s="11">
        <v>246500</v>
      </c>
      <c r="H849" s="12" t="s">
        <v>217</v>
      </c>
    </row>
    <row r="850" spans="1:8" x14ac:dyDescent="0.2">
      <c r="A850" s="9">
        <v>849</v>
      </c>
      <c r="B850" s="3" t="s">
        <v>129</v>
      </c>
      <c r="C850" s="3" t="s">
        <v>130</v>
      </c>
      <c r="D850" s="3" t="s">
        <v>131</v>
      </c>
      <c r="E850" s="10">
        <f ca="1">TODAY()-818</f>
        <v>43404</v>
      </c>
      <c r="F850" s="4" t="b">
        <v>0</v>
      </c>
      <c r="G850" s="11">
        <v>278300</v>
      </c>
      <c r="H850" s="12" t="s">
        <v>218</v>
      </c>
    </row>
    <row r="851" spans="1:8" x14ac:dyDescent="0.2">
      <c r="A851" s="9">
        <v>850</v>
      </c>
      <c r="B851" s="3" t="s">
        <v>155</v>
      </c>
      <c r="C851" s="3" t="s">
        <v>174</v>
      </c>
      <c r="D851" s="3" t="s">
        <v>131</v>
      </c>
      <c r="E851" s="10">
        <f ca="1">TODAY()-811</f>
        <v>43411</v>
      </c>
      <c r="F851" s="4" t="b">
        <v>0</v>
      </c>
      <c r="G851" s="11">
        <v>275300</v>
      </c>
      <c r="H851" s="12" t="s">
        <v>220</v>
      </c>
    </row>
    <row r="852" spans="1:8" x14ac:dyDescent="0.2">
      <c r="A852" s="9">
        <v>851</v>
      </c>
      <c r="B852" s="3" t="s">
        <v>120</v>
      </c>
      <c r="C852" s="3" t="s">
        <v>165</v>
      </c>
      <c r="D852" s="3" t="s">
        <v>131</v>
      </c>
      <c r="E852" s="10">
        <f ca="1">TODAY()-809</f>
        <v>43413</v>
      </c>
      <c r="F852" s="4" t="b">
        <v>0</v>
      </c>
      <c r="G852" s="11">
        <v>870700</v>
      </c>
      <c r="H852" s="12" t="s">
        <v>217</v>
      </c>
    </row>
    <row r="853" spans="1:8" x14ac:dyDescent="0.2">
      <c r="A853" s="9">
        <v>852</v>
      </c>
      <c r="B853" s="3" t="s">
        <v>123</v>
      </c>
      <c r="C853" s="3" t="s">
        <v>189</v>
      </c>
      <c r="D853" s="3" t="s">
        <v>121</v>
      </c>
      <c r="E853" s="10">
        <f ca="1">TODAY()-802</f>
        <v>43420</v>
      </c>
      <c r="F853" s="4" t="b">
        <v>0</v>
      </c>
      <c r="G853" s="11">
        <v>281200</v>
      </c>
      <c r="H853" s="12" t="s">
        <v>218</v>
      </c>
    </row>
    <row r="854" spans="1:8" x14ac:dyDescent="0.2">
      <c r="A854" s="9">
        <v>853</v>
      </c>
      <c r="B854" s="3" t="s">
        <v>155</v>
      </c>
      <c r="C854" s="3" t="s">
        <v>186</v>
      </c>
      <c r="D854" s="3" t="s">
        <v>135</v>
      </c>
      <c r="E854" s="10">
        <f ca="1">TODAY()-804</f>
        <v>43418</v>
      </c>
      <c r="F854" s="4" t="b">
        <v>1</v>
      </c>
      <c r="G854" s="11">
        <v>235100</v>
      </c>
      <c r="H854" s="12" t="s">
        <v>219</v>
      </c>
    </row>
    <row r="855" spans="1:8" x14ac:dyDescent="0.2">
      <c r="A855" s="9">
        <v>854</v>
      </c>
      <c r="B855" s="3" t="s">
        <v>129</v>
      </c>
      <c r="C855" s="3" t="s">
        <v>140</v>
      </c>
      <c r="D855" s="3" t="s">
        <v>135</v>
      </c>
      <c r="E855" s="10">
        <f ca="1">TODAY()-796</f>
        <v>43426</v>
      </c>
      <c r="F855" s="4" t="b">
        <v>0</v>
      </c>
      <c r="G855" s="11">
        <v>380400</v>
      </c>
      <c r="H855" s="12" t="s">
        <v>218</v>
      </c>
    </row>
    <row r="856" spans="1:8" x14ac:dyDescent="0.2">
      <c r="A856" s="9">
        <v>855</v>
      </c>
      <c r="B856" s="3" t="s">
        <v>137</v>
      </c>
      <c r="C856" s="3" t="s">
        <v>169</v>
      </c>
      <c r="D856" s="3" t="s">
        <v>135</v>
      </c>
      <c r="E856" s="10">
        <f ca="1">TODAY()-794</f>
        <v>43428</v>
      </c>
      <c r="F856" s="4" t="b">
        <v>1</v>
      </c>
      <c r="G856" s="11">
        <v>276900</v>
      </c>
      <c r="H856" s="12" t="s">
        <v>218</v>
      </c>
    </row>
    <row r="857" spans="1:8" x14ac:dyDescent="0.2">
      <c r="A857" s="9">
        <v>856</v>
      </c>
      <c r="B857" s="3" t="s">
        <v>123</v>
      </c>
      <c r="C857" s="3" t="s">
        <v>122</v>
      </c>
      <c r="D857" s="3" t="s">
        <v>124</v>
      </c>
      <c r="E857" s="10">
        <f ca="1">TODAY()-802</f>
        <v>43420</v>
      </c>
      <c r="F857" s="4" t="b">
        <v>1</v>
      </c>
      <c r="G857" s="11">
        <v>256800</v>
      </c>
      <c r="H857" s="12" t="s">
        <v>218</v>
      </c>
    </row>
    <row r="858" spans="1:8" x14ac:dyDescent="0.2">
      <c r="A858" s="9">
        <v>857</v>
      </c>
      <c r="B858" s="3" t="s">
        <v>120</v>
      </c>
      <c r="C858" s="3" t="s">
        <v>195</v>
      </c>
      <c r="D858" s="3" t="s">
        <v>121</v>
      </c>
      <c r="E858" s="10">
        <f ca="1">TODAY()-791</f>
        <v>43431</v>
      </c>
      <c r="F858" s="4" t="b">
        <v>0</v>
      </c>
      <c r="G858" s="11">
        <v>269500</v>
      </c>
      <c r="H858" s="12" t="s">
        <v>219</v>
      </c>
    </row>
    <row r="859" spans="1:8" x14ac:dyDescent="0.2">
      <c r="A859" s="9">
        <v>858</v>
      </c>
      <c r="B859" s="3" t="s">
        <v>155</v>
      </c>
      <c r="C859" s="3" t="s">
        <v>209</v>
      </c>
      <c r="D859" s="3" t="s">
        <v>121</v>
      </c>
      <c r="E859" s="10">
        <f ca="1">TODAY()-794</f>
        <v>43428</v>
      </c>
      <c r="F859" s="4" t="b">
        <v>0</v>
      </c>
      <c r="G859" s="11">
        <v>365800</v>
      </c>
      <c r="H859" s="12" t="s">
        <v>219</v>
      </c>
    </row>
    <row r="860" spans="1:8" x14ac:dyDescent="0.2">
      <c r="A860" s="9">
        <v>859</v>
      </c>
      <c r="B860" s="3" t="s">
        <v>146</v>
      </c>
      <c r="C860" s="3" t="s">
        <v>160</v>
      </c>
      <c r="D860" s="3" t="s">
        <v>121</v>
      </c>
      <c r="E860" s="10">
        <f ca="1">TODAY()-787</f>
        <v>43435</v>
      </c>
      <c r="F860" s="4" t="b">
        <v>1</v>
      </c>
      <c r="G860" s="11">
        <v>258800</v>
      </c>
      <c r="H860" s="12" t="s">
        <v>218</v>
      </c>
    </row>
    <row r="861" spans="1:8" x14ac:dyDescent="0.2">
      <c r="A861" s="9">
        <v>860</v>
      </c>
      <c r="B861" s="3" t="s">
        <v>146</v>
      </c>
      <c r="C861" s="3" t="s">
        <v>188</v>
      </c>
      <c r="D861" s="3" t="s">
        <v>121</v>
      </c>
      <c r="E861" s="10">
        <f ca="1">TODAY()-791</f>
        <v>43431</v>
      </c>
      <c r="F861" s="4" t="b">
        <v>0</v>
      </c>
      <c r="G861" s="11">
        <v>982000</v>
      </c>
      <c r="H861" s="12" t="s">
        <v>218</v>
      </c>
    </row>
    <row r="862" spans="1:8" x14ac:dyDescent="0.2">
      <c r="A862" s="9">
        <v>861</v>
      </c>
      <c r="B862" s="3" t="s">
        <v>191</v>
      </c>
      <c r="C862" s="3" t="s">
        <v>204</v>
      </c>
      <c r="D862" s="3" t="s">
        <v>135</v>
      </c>
      <c r="E862" s="10">
        <f ca="1">TODAY()-792</f>
        <v>43430</v>
      </c>
      <c r="F862" s="4" t="b">
        <v>1</v>
      </c>
      <c r="G862" s="11">
        <v>487400</v>
      </c>
      <c r="H862" s="12" t="s">
        <v>220</v>
      </c>
    </row>
    <row r="863" spans="1:8" x14ac:dyDescent="0.2">
      <c r="A863" s="9">
        <v>862</v>
      </c>
      <c r="B863" s="3" t="s">
        <v>173</v>
      </c>
      <c r="C863" s="3" t="s">
        <v>185</v>
      </c>
      <c r="D863" s="3" t="s">
        <v>131</v>
      </c>
      <c r="E863" s="10">
        <f ca="1">TODAY()-790</f>
        <v>43432</v>
      </c>
      <c r="F863" s="4" t="b">
        <v>0</v>
      </c>
      <c r="G863" s="11">
        <v>868000</v>
      </c>
      <c r="H863" s="12" t="s">
        <v>217</v>
      </c>
    </row>
    <row r="864" spans="1:8" x14ac:dyDescent="0.2">
      <c r="A864" s="9">
        <v>863</v>
      </c>
      <c r="B864" s="3" t="s">
        <v>143</v>
      </c>
      <c r="C864" s="3" t="s">
        <v>181</v>
      </c>
      <c r="D864" s="3" t="s">
        <v>121</v>
      </c>
      <c r="E864" s="10">
        <f ca="1">TODAY()-785</f>
        <v>43437</v>
      </c>
      <c r="F864" s="4" t="b">
        <v>0</v>
      </c>
      <c r="G864" s="11">
        <v>235200</v>
      </c>
      <c r="H864" s="12" t="s">
        <v>218</v>
      </c>
    </row>
    <row r="865" spans="1:8" x14ac:dyDescent="0.2">
      <c r="A865" s="9">
        <v>864</v>
      </c>
      <c r="B865" s="3" t="s">
        <v>129</v>
      </c>
      <c r="C865" s="3" t="s">
        <v>161</v>
      </c>
      <c r="D865" s="3" t="s">
        <v>121</v>
      </c>
      <c r="E865" s="10">
        <f ca="1">TODAY()-779</f>
        <v>43443</v>
      </c>
      <c r="F865" s="4" t="b">
        <v>0</v>
      </c>
      <c r="G865" s="11">
        <v>252400</v>
      </c>
      <c r="H865" s="12" t="s">
        <v>218</v>
      </c>
    </row>
    <row r="866" spans="1:8" x14ac:dyDescent="0.2">
      <c r="A866" s="9">
        <v>865</v>
      </c>
      <c r="B866" s="3" t="s">
        <v>197</v>
      </c>
      <c r="C866" s="3" t="s">
        <v>196</v>
      </c>
      <c r="D866" s="3" t="s">
        <v>124</v>
      </c>
      <c r="E866" s="10">
        <f ca="1">TODAY()-780</f>
        <v>43442</v>
      </c>
      <c r="F866" s="4" t="b">
        <v>0</v>
      </c>
      <c r="G866" s="11">
        <v>607800</v>
      </c>
      <c r="H866" s="12" t="s">
        <v>219</v>
      </c>
    </row>
    <row r="867" spans="1:8" x14ac:dyDescent="0.2">
      <c r="A867" s="9">
        <v>866</v>
      </c>
      <c r="B867" s="3" t="s">
        <v>120</v>
      </c>
      <c r="C867" s="3" t="s">
        <v>165</v>
      </c>
      <c r="D867" s="3" t="s">
        <v>131</v>
      </c>
      <c r="E867" s="10">
        <f ca="1">TODAY()-781</f>
        <v>43441</v>
      </c>
      <c r="F867" s="4" t="b">
        <v>1</v>
      </c>
      <c r="G867" s="11">
        <v>630200</v>
      </c>
      <c r="H867" s="12" t="s">
        <v>217</v>
      </c>
    </row>
    <row r="868" spans="1:8" x14ac:dyDescent="0.2">
      <c r="A868" s="9">
        <v>867</v>
      </c>
      <c r="B868" s="3" t="s">
        <v>150</v>
      </c>
      <c r="C868" s="3" t="s">
        <v>168</v>
      </c>
      <c r="D868" s="3" t="s">
        <v>124</v>
      </c>
      <c r="E868" s="10">
        <f ca="1">TODAY()-775</f>
        <v>43447</v>
      </c>
      <c r="F868" s="4" t="b">
        <v>0</v>
      </c>
      <c r="G868" s="11">
        <v>331000</v>
      </c>
      <c r="H868" s="12" t="s">
        <v>218</v>
      </c>
    </row>
    <row r="869" spans="1:8" x14ac:dyDescent="0.2">
      <c r="A869" s="9">
        <v>868</v>
      </c>
      <c r="B869" s="3" t="s">
        <v>120</v>
      </c>
      <c r="C869" s="3" t="s">
        <v>170</v>
      </c>
      <c r="D869" s="3" t="s">
        <v>121</v>
      </c>
      <c r="E869" s="10">
        <f ca="1">TODAY()-768</f>
        <v>43454</v>
      </c>
      <c r="F869" s="4" t="b">
        <v>0</v>
      </c>
      <c r="G869" s="11">
        <v>265300</v>
      </c>
      <c r="H869" s="12" t="s">
        <v>220</v>
      </c>
    </row>
    <row r="870" spans="1:8" x14ac:dyDescent="0.2">
      <c r="A870" s="9">
        <v>869</v>
      </c>
      <c r="B870" s="3" t="s">
        <v>133</v>
      </c>
      <c r="C870" s="3" t="s">
        <v>211</v>
      </c>
      <c r="D870" s="3" t="s">
        <v>124</v>
      </c>
      <c r="E870" s="10">
        <f ca="1">TODAY()-764</f>
        <v>43458</v>
      </c>
      <c r="F870" s="4" t="b">
        <v>0</v>
      </c>
      <c r="G870" s="11">
        <v>459100</v>
      </c>
      <c r="H870" s="12" t="s">
        <v>219</v>
      </c>
    </row>
    <row r="871" spans="1:8" x14ac:dyDescent="0.2">
      <c r="A871" s="9">
        <v>870</v>
      </c>
      <c r="B871" s="3" t="s">
        <v>120</v>
      </c>
      <c r="C871" s="3" t="s">
        <v>195</v>
      </c>
      <c r="D871" s="3" t="s">
        <v>121</v>
      </c>
      <c r="E871" s="10">
        <f ca="1">TODAY()-762</f>
        <v>43460</v>
      </c>
      <c r="F871" s="4" t="b">
        <v>0</v>
      </c>
      <c r="G871" s="11">
        <v>279900</v>
      </c>
      <c r="H871" s="12" t="s">
        <v>219</v>
      </c>
    </row>
    <row r="872" spans="1:8" x14ac:dyDescent="0.2">
      <c r="A872" s="9">
        <v>871</v>
      </c>
      <c r="B872" s="3" t="s">
        <v>180</v>
      </c>
      <c r="C872" s="3" t="s">
        <v>207</v>
      </c>
      <c r="D872" s="3" t="s">
        <v>127</v>
      </c>
      <c r="E872" s="10">
        <f ca="1">TODAY()-763</f>
        <v>43459</v>
      </c>
      <c r="F872" s="4" t="b">
        <v>1</v>
      </c>
      <c r="G872" s="11">
        <v>294100</v>
      </c>
      <c r="H872" s="12" t="s">
        <v>220</v>
      </c>
    </row>
    <row r="873" spans="1:8" x14ac:dyDescent="0.2">
      <c r="A873" s="9">
        <v>872</v>
      </c>
      <c r="B873" s="3" t="s">
        <v>137</v>
      </c>
      <c r="C873" s="3" t="s">
        <v>167</v>
      </c>
      <c r="D873" s="3" t="s">
        <v>135</v>
      </c>
      <c r="E873" s="10">
        <f ca="1">TODAY()-757</f>
        <v>43465</v>
      </c>
      <c r="F873" s="4" t="b">
        <v>0</v>
      </c>
      <c r="G873" s="11">
        <v>353800</v>
      </c>
      <c r="H873" s="12" t="s">
        <v>218</v>
      </c>
    </row>
    <row r="874" spans="1:8" x14ac:dyDescent="0.2">
      <c r="A874" s="9">
        <v>873</v>
      </c>
      <c r="B874" s="3" t="s">
        <v>129</v>
      </c>
      <c r="C874" s="3" t="s">
        <v>159</v>
      </c>
      <c r="D874" s="3" t="s">
        <v>121</v>
      </c>
      <c r="E874" s="10">
        <f ca="1">TODAY()-758</f>
        <v>43464</v>
      </c>
      <c r="F874" s="4" t="b">
        <v>0</v>
      </c>
      <c r="G874" s="11">
        <v>296600</v>
      </c>
      <c r="H874" s="12" t="s">
        <v>219</v>
      </c>
    </row>
    <row r="875" spans="1:8" x14ac:dyDescent="0.2">
      <c r="A875" s="9">
        <v>874</v>
      </c>
      <c r="B875" s="3" t="s">
        <v>143</v>
      </c>
      <c r="C875" s="3" t="s">
        <v>181</v>
      </c>
      <c r="D875" s="3" t="s">
        <v>121</v>
      </c>
      <c r="E875" s="10">
        <f ca="1">TODAY()-756</f>
        <v>43466</v>
      </c>
      <c r="F875" s="4" t="b">
        <v>0</v>
      </c>
      <c r="G875" s="11">
        <v>246700</v>
      </c>
      <c r="H875" s="12" t="s">
        <v>218</v>
      </c>
    </row>
    <row r="876" spans="1:8" x14ac:dyDescent="0.2">
      <c r="A876" s="9">
        <v>875</v>
      </c>
      <c r="B876" s="3" t="s">
        <v>150</v>
      </c>
      <c r="C876" s="3" t="s">
        <v>175</v>
      </c>
      <c r="D876" s="3" t="s">
        <v>121</v>
      </c>
      <c r="E876" s="10">
        <f ca="1">TODAY()-758</f>
        <v>43464</v>
      </c>
      <c r="F876" s="4" t="b">
        <v>1</v>
      </c>
      <c r="G876" s="11">
        <v>827800</v>
      </c>
      <c r="H876" s="12" t="s">
        <v>220</v>
      </c>
    </row>
    <row r="877" spans="1:8" x14ac:dyDescent="0.2">
      <c r="A877" s="9">
        <v>876</v>
      </c>
      <c r="B877" s="3" t="s">
        <v>143</v>
      </c>
      <c r="C877" s="3" t="s">
        <v>206</v>
      </c>
      <c r="D877" s="3" t="s">
        <v>135</v>
      </c>
      <c r="E877" s="10">
        <f ca="1">TODAY()-749</f>
        <v>43473</v>
      </c>
      <c r="F877" s="4" t="b">
        <v>0</v>
      </c>
      <c r="G877" s="11">
        <v>252400</v>
      </c>
      <c r="H877" s="12" t="s">
        <v>219</v>
      </c>
    </row>
    <row r="878" spans="1:8" x14ac:dyDescent="0.2">
      <c r="A878" s="9">
        <v>877</v>
      </c>
      <c r="B878" s="3" t="s">
        <v>173</v>
      </c>
      <c r="C878" s="3" t="s">
        <v>185</v>
      </c>
      <c r="D878" s="3" t="s">
        <v>131</v>
      </c>
      <c r="E878" s="10">
        <f ca="1">TODAY()-746</f>
        <v>43476</v>
      </c>
      <c r="F878" s="4" t="b">
        <v>1</v>
      </c>
      <c r="G878" s="11">
        <v>987000</v>
      </c>
      <c r="H878" s="12" t="s">
        <v>217</v>
      </c>
    </row>
    <row r="879" spans="1:8" x14ac:dyDescent="0.2">
      <c r="A879" s="9">
        <v>878</v>
      </c>
      <c r="B879" s="3" t="s">
        <v>120</v>
      </c>
      <c r="C879" s="3" t="s">
        <v>205</v>
      </c>
      <c r="D879" s="3" t="s">
        <v>131</v>
      </c>
      <c r="E879" s="10">
        <f ca="1">TODAY()-740</f>
        <v>43482</v>
      </c>
      <c r="F879" s="4" t="b">
        <v>0</v>
      </c>
      <c r="G879" s="11">
        <v>242600</v>
      </c>
      <c r="H879" s="12" t="s">
        <v>219</v>
      </c>
    </row>
    <row r="880" spans="1:8" x14ac:dyDescent="0.2">
      <c r="A880" s="9">
        <v>879</v>
      </c>
      <c r="B880" s="3" t="s">
        <v>137</v>
      </c>
      <c r="C880" s="3" t="s">
        <v>167</v>
      </c>
      <c r="D880" s="3" t="s">
        <v>135</v>
      </c>
      <c r="E880" s="10">
        <f ca="1">TODAY()-740</f>
        <v>43482</v>
      </c>
      <c r="F880" s="4" t="b">
        <v>0</v>
      </c>
      <c r="G880" s="11">
        <v>320700</v>
      </c>
      <c r="H880" s="12" t="s">
        <v>218</v>
      </c>
    </row>
    <row r="881" spans="1:8" x14ac:dyDescent="0.2">
      <c r="A881" s="9">
        <v>880</v>
      </c>
      <c r="B881" s="3" t="s">
        <v>191</v>
      </c>
      <c r="C881" s="3" t="s">
        <v>204</v>
      </c>
      <c r="D881" s="3" t="s">
        <v>135</v>
      </c>
      <c r="E881" s="10">
        <f ca="1">TODAY()-724</f>
        <v>43498</v>
      </c>
      <c r="F881" s="4" t="b">
        <v>1</v>
      </c>
      <c r="G881" s="11">
        <v>657400</v>
      </c>
      <c r="H881" s="12" t="s">
        <v>220</v>
      </c>
    </row>
    <row r="882" spans="1:8" x14ac:dyDescent="0.2">
      <c r="A882" s="9">
        <v>881</v>
      </c>
      <c r="B882" s="3" t="s">
        <v>123</v>
      </c>
      <c r="C882" s="3" t="s">
        <v>189</v>
      </c>
      <c r="D882" s="3" t="s">
        <v>121</v>
      </c>
      <c r="E882" s="10">
        <f ca="1">TODAY()-722</f>
        <v>43500</v>
      </c>
      <c r="F882" s="4" t="b">
        <v>0</v>
      </c>
      <c r="G882" s="11">
        <v>236200</v>
      </c>
      <c r="H882" s="12" t="s">
        <v>218</v>
      </c>
    </row>
    <row r="883" spans="1:8" x14ac:dyDescent="0.2">
      <c r="A883" s="9">
        <v>882</v>
      </c>
      <c r="B883" s="3" t="s">
        <v>129</v>
      </c>
      <c r="C883" s="3" t="s">
        <v>130</v>
      </c>
      <c r="D883" s="3" t="s">
        <v>131</v>
      </c>
      <c r="E883" s="10">
        <f ca="1">TODAY()-727</f>
        <v>43495</v>
      </c>
      <c r="F883" s="4" t="b">
        <v>1</v>
      </c>
      <c r="G883" s="11">
        <v>459100</v>
      </c>
      <c r="H883" s="12" t="s">
        <v>218</v>
      </c>
    </row>
    <row r="884" spans="1:8" x14ac:dyDescent="0.2">
      <c r="A884" s="9">
        <v>883</v>
      </c>
      <c r="B884" s="3" t="s">
        <v>137</v>
      </c>
      <c r="C884" s="3" t="s">
        <v>167</v>
      </c>
      <c r="D884" s="3" t="s">
        <v>135</v>
      </c>
      <c r="E884" s="10">
        <f ca="1">TODAY()-726</f>
        <v>43496</v>
      </c>
      <c r="F884" s="4" t="b">
        <v>0</v>
      </c>
      <c r="G884" s="11">
        <v>1084800</v>
      </c>
      <c r="H884" s="12" t="s">
        <v>218</v>
      </c>
    </row>
    <row r="885" spans="1:8" x14ac:dyDescent="0.2">
      <c r="A885" s="9">
        <v>884</v>
      </c>
      <c r="B885" s="3" t="s">
        <v>163</v>
      </c>
      <c r="C885" s="3" t="s">
        <v>162</v>
      </c>
      <c r="D885" s="3" t="s">
        <v>127</v>
      </c>
      <c r="E885" s="10">
        <f ca="1">TODAY()-709</f>
        <v>43513</v>
      </c>
      <c r="F885" s="4" t="b">
        <v>0</v>
      </c>
      <c r="G885" s="11">
        <v>620200</v>
      </c>
      <c r="H885" s="12" t="s">
        <v>217</v>
      </c>
    </row>
    <row r="886" spans="1:8" x14ac:dyDescent="0.2">
      <c r="A886" s="9">
        <v>885</v>
      </c>
      <c r="B886" s="3" t="s">
        <v>129</v>
      </c>
      <c r="C886" s="3" t="s">
        <v>128</v>
      </c>
      <c r="D886" s="3" t="s">
        <v>124</v>
      </c>
      <c r="E886" s="10">
        <f ca="1">TODAY()-697</f>
        <v>43525</v>
      </c>
      <c r="F886" s="4" t="b">
        <v>0</v>
      </c>
      <c r="G886" s="11">
        <v>734500</v>
      </c>
      <c r="H886" s="12" t="s">
        <v>217</v>
      </c>
    </row>
    <row r="887" spans="1:8" x14ac:dyDescent="0.2">
      <c r="A887" s="9">
        <v>886</v>
      </c>
      <c r="B887" s="3" t="s">
        <v>120</v>
      </c>
      <c r="C887" s="3" t="s">
        <v>195</v>
      </c>
      <c r="D887" s="3" t="s">
        <v>121</v>
      </c>
      <c r="E887" s="10">
        <f ca="1">TODAY()-702</f>
        <v>43520</v>
      </c>
      <c r="F887" s="4" t="b">
        <v>0</v>
      </c>
      <c r="G887" s="11">
        <v>243100</v>
      </c>
      <c r="H887" s="12" t="s">
        <v>219</v>
      </c>
    </row>
    <row r="888" spans="1:8" x14ac:dyDescent="0.2">
      <c r="A888" s="9">
        <v>887</v>
      </c>
      <c r="B888" s="3" t="s">
        <v>146</v>
      </c>
      <c r="C888" s="3" t="s">
        <v>188</v>
      </c>
      <c r="D888" s="3" t="s">
        <v>121</v>
      </c>
      <c r="E888" s="10">
        <f ca="1">TODAY()-704</f>
        <v>43518</v>
      </c>
      <c r="F888" s="4" t="b">
        <v>0</v>
      </c>
      <c r="G888" s="11">
        <v>299000</v>
      </c>
      <c r="H888" s="12" t="s">
        <v>218</v>
      </c>
    </row>
    <row r="889" spans="1:8" x14ac:dyDescent="0.2">
      <c r="A889" s="9">
        <v>888</v>
      </c>
      <c r="B889" s="3" t="s">
        <v>139</v>
      </c>
      <c r="C889" s="3" t="s">
        <v>141</v>
      </c>
      <c r="D889" s="3" t="s">
        <v>124</v>
      </c>
      <c r="E889" s="10">
        <f ca="1">TODAY()-682</f>
        <v>43540</v>
      </c>
      <c r="F889" s="4" t="b">
        <v>0</v>
      </c>
      <c r="G889" s="11">
        <v>273000</v>
      </c>
      <c r="H889" s="12" t="s">
        <v>220</v>
      </c>
    </row>
    <row r="890" spans="1:8" x14ac:dyDescent="0.2">
      <c r="A890" s="9">
        <v>889</v>
      </c>
      <c r="B890" s="3" t="s">
        <v>155</v>
      </c>
      <c r="C890" s="3" t="s">
        <v>186</v>
      </c>
      <c r="D890" s="3" t="s">
        <v>135</v>
      </c>
      <c r="E890" s="10">
        <f ca="1">TODAY()-686</f>
        <v>43536</v>
      </c>
      <c r="F890" s="4" t="b">
        <v>1</v>
      </c>
      <c r="G890" s="11">
        <v>304800</v>
      </c>
      <c r="H890" s="12" t="s">
        <v>219</v>
      </c>
    </row>
    <row r="891" spans="1:8" x14ac:dyDescent="0.2">
      <c r="A891" s="9">
        <v>890</v>
      </c>
      <c r="B891" s="3" t="s">
        <v>150</v>
      </c>
      <c r="C891" s="3" t="s">
        <v>168</v>
      </c>
      <c r="D891" s="3" t="s">
        <v>124</v>
      </c>
      <c r="E891" s="10">
        <f ca="1">TODAY()-687</f>
        <v>43535</v>
      </c>
      <c r="F891" s="4" t="b">
        <v>0</v>
      </c>
      <c r="G891" s="11">
        <v>712900</v>
      </c>
      <c r="H891" s="12" t="s">
        <v>218</v>
      </c>
    </row>
    <row r="892" spans="1:8" x14ac:dyDescent="0.2">
      <c r="A892" s="9">
        <v>891</v>
      </c>
      <c r="B892" s="3" t="s">
        <v>133</v>
      </c>
      <c r="C892" s="3" t="s">
        <v>211</v>
      </c>
      <c r="D892" s="3" t="s">
        <v>124</v>
      </c>
      <c r="E892" s="10">
        <f ca="1">TODAY()-685</f>
        <v>43537</v>
      </c>
      <c r="F892" s="4" t="b">
        <v>1</v>
      </c>
      <c r="G892" s="11">
        <v>464600</v>
      </c>
      <c r="H892" s="12" t="s">
        <v>219</v>
      </c>
    </row>
    <row r="893" spans="1:8" x14ac:dyDescent="0.2">
      <c r="A893" s="9">
        <v>892</v>
      </c>
      <c r="B893" s="3" t="s">
        <v>150</v>
      </c>
      <c r="C893" s="3" t="s">
        <v>149</v>
      </c>
      <c r="D893" s="3" t="s">
        <v>124</v>
      </c>
      <c r="E893" s="10">
        <f ca="1">TODAY()-675</f>
        <v>43547</v>
      </c>
      <c r="F893" s="4" t="b">
        <v>0</v>
      </c>
      <c r="G893" s="11">
        <v>238200</v>
      </c>
      <c r="H893" s="12" t="s">
        <v>217</v>
      </c>
    </row>
    <row r="894" spans="1:8" x14ac:dyDescent="0.2">
      <c r="A894" s="9">
        <v>893</v>
      </c>
      <c r="B894" s="3" t="s">
        <v>150</v>
      </c>
      <c r="C894" s="3" t="s">
        <v>152</v>
      </c>
      <c r="D894" s="3" t="s">
        <v>135</v>
      </c>
      <c r="E894" s="10">
        <f ca="1">TODAY()-668</f>
        <v>43554</v>
      </c>
      <c r="F894" s="4" t="b">
        <v>0</v>
      </c>
      <c r="G894" s="11">
        <v>244700</v>
      </c>
      <c r="H894" s="12" t="s">
        <v>219</v>
      </c>
    </row>
    <row r="895" spans="1:8" x14ac:dyDescent="0.2">
      <c r="A895" s="9">
        <v>894</v>
      </c>
      <c r="B895" s="3" t="s">
        <v>129</v>
      </c>
      <c r="C895" s="3" t="s">
        <v>134</v>
      </c>
      <c r="D895" s="3" t="s">
        <v>135</v>
      </c>
      <c r="E895" s="10">
        <f ca="1">TODAY()-671</f>
        <v>43551</v>
      </c>
      <c r="F895" s="4" t="b">
        <v>0</v>
      </c>
      <c r="G895" s="11">
        <v>289200</v>
      </c>
      <c r="H895" s="12" t="s">
        <v>220</v>
      </c>
    </row>
    <row r="896" spans="1:8" x14ac:dyDescent="0.2">
      <c r="A896" s="9">
        <v>895</v>
      </c>
      <c r="B896" s="3" t="s">
        <v>129</v>
      </c>
      <c r="C896" s="3" t="s">
        <v>159</v>
      </c>
      <c r="D896" s="3" t="s">
        <v>121</v>
      </c>
      <c r="E896" s="10">
        <f ca="1">TODAY()-663</f>
        <v>43559</v>
      </c>
      <c r="F896" s="4" t="b">
        <v>0</v>
      </c>
      <c r="G896" s="11">
        <v>319700</v>
      </c>
      <c r="H896" s="12" t="s">
        <v>219</v>
      </c>
    </row>
    <row r="897" spans="1:8" x14ac:dyDescent="0.2">
      <c r="A897" s="9">
        <v>896</v>
      </c>
      <c r="B897" s="3" t="s">
        <v>126</v>
      </c>
      <c r="C897" s="3" t="s">
        <v>125</v>
      </c>
      <c r="D897" s="3" t="s">
        <v>127</v>
      </c>
      <c r="E897" s="10">
        <f ca="1">TODAY()-660</f>
        <v>43562</v>
      </c>
      <c r="F897" s="4" t="b">
        <v>1</v>
      </c>
      <c r="G897" s="11">
        <v>288900</v>
      </c>
      <c r="H897" s="12" t="s">
        <v>219</v>
      </c>
    </row>
    <row r="898" spans="1:8" x14ac:dyDescent="0.2">
      <c r="A898" s="9">
        <v>897</v>
      </c>
      <c r="B898" s="3" t="s">
        <v>120</v>
      </c>
      <c r="C898" s="3" t="s">
        <v>156</v>
      </c>
      <c r="D898" s="3" t="s">
        <v>121</v>
      </c>
      <c r="E898" s="10">
        <f ca="1">TODAY()-663</f>
        <v>43559</v>
      </c>
      <c r="F898" s="4" t="b">
        <v>1</v>
      </c>
      <c r="G898" s="11">
        <v>285800</v>
      </c>
      <c r="H898" s="12" t="s">
        <v>220</v>
      </c>
    </row>
    <row r="899" spans="1:8" x14ac:dyDescent="0.2">
      <c r="A899" s="9">
        <v>898</v>
      </c>
      <c r="B899" s="3" t="s">
        <v>148</v>
      </c>
      <c r="C899" s="3" t="s">
        <v>210</v>
      </c>
      <c r="D899" s="3" t="s">
        <v>131</v>
      </c>
      <c r="E899" s="10">
        <f ca="1">TODAY()-657</f>
        <v>43565</v>
      </c>
      <c r="F899" s="4" t="b">
        <v>1</v>
      </c>
      <c r="G899" s="11">
        <v>295300</v>
      </c>
      <c r="H899" s="12" t="s">
        <v>219</v>
      </c>
    </row>
    <row r="900" spans="1:8" x14ac:dyDescent="0.2">
      <c r="A900" s="9">
        <v>899</v>
      </c>
      <c r="B900" s="3" t="s">
        <v>129</v>
      </c>
      <c r="C900" s="3" t="s">
        <v>130</v>
      </c>
      <c r="D900" s="3" t="s">
        <v>131</v>
      </c>
      <c r="E900" s="10">
        <f ca="1">TODAY()-660</f>
        <v>43562</v>
      </c>
      <c r="F900" s="4" t="b">
        <v>0</v>
      </c>
      <c r="G900" s="11">
        <v>278300</v>
      </c>
      <c r="H900" s="12" t="s">
        <v>218</v>
      </c>
    </row>
    <row r="901" spans="1:8" x14ac:dyDescent="0.2">
      <c r="A901" s="9">
        <v>900</v>
      </c>
      <c r="B901" s="3" t="s">
        <v>197</v>
      </c>
      <c r="C901" s="3" t="s">
        <v>202</v>
      </c>
      <c r="D901" s="3" t="s">
        <v>135</v>
      </c>
      <c r="E901" s="10">
        <f ca="1">TODAY()-653</f>
        <v>43569</v>
      </c>
      <c r="F901" s="4" t="b">
        <v>0</v>
      </c>
      <c r="G901" s="11">
        <v>243000</v>
      </c>
      <c r="H901" s="12" t="s">
        <v>217</v>
      </c>
    </row>
    <row r="902" spans="1:8" x14ac:dyDescent="0.2">
      <c r="A902" s="9">
        <v>901</v>
      </c>
      <c r="B902" s="3" t="s">
        <v>155</v>
      </c>
      <c r="C902" s="3" t="s">
        <v>193</v>
      </c>
      <c r="D902" s="3" t="s">
        <v>124</v>
      </c>
      <c r="E902" s="10">
        <f ca="1">TODAY()-657</f>
        <v>43565</v>
      </c>
      <c r="F902" s="4" t="b">
        <v>1</v>
      </c>
      <c r="G902" s="11">
        <v>423400</v>
      </c>
      <c r="H902" s="12" t="s">
        <v>218</v>
      </c>
    </row>
    <row r="903" spans="1:8" x14ac:dyDescent="0.2">
      <c r="A903" s="9">
        <v>902</v>
      </c>
      <c r="B903" s="3" t="s">
        <v>120</v>
      </c>
      <c r="C903" s="3" t="s">
        <v>119</v>
      </c>
      <c r="D903" s="3" t="s">
        <v>121</v>
      </c>
      <c r="E903" s="10">
        <f ca="1">TODAY()-654</f>
        <v>43568</v>
      </c>
      <c r="F903" s="4" t="b">
        <v>1</v>
      </c>
      <c r="G903" s="11">
        <v>432300</v>
      </c>
      <c r="H903" s="12" t="s">
        <v>217</v>
      </c>
    </row>
    <row r="904" spans="1:8" x14ac:dyDescent="0.2">
      <c r="A904" s="9">
        <v>903</v>
      </c>
      <c r="B904" s="3" t="s">
        <v>139</v>
      </c>
      <c r="C904" s="3" t="s">
        <v>138</v>
      </c>
      <c r="D904" s="3" t="s">
        <v>135</v>
      </c>
      <c r="E904" s="10">
        <f ca="1">TODAY()-648</f>
        <v>43574</v>
      </c>
      <c r="F904" s="4" t="b">
        <v>0</v>
      </c>
      <c r="G904" s="11">
        <v>283100</v>
      </c>
      <c r="H904" s="12" t="s">
        <v>220</v>
      </c>
    </row>
    <row r="905" spans="1:8" x14ac:dyDescent="0.2">
      <c r="A905" s="9">
        <v>904</v>
      </c>
      <c r="B905" s="3" t="s">
        <v>139</v>
      </c>
      <c r="C905" s="3" t="s">
        <v>176</v>
      </c>
      <c r="D905" s="3" t="s">
        <v>121</v>
      </c>
      <c r="E905" s="10">
        <f ca="1">TODAY()-649</f>
        <v>43573</v>
      </c>
      <c r="F905" s="4" t="b">
        <v>0</v>
      </c>
      <c r="G905" s="11">
        <v>271900</v>
      </c>
      <c r="H905" s="12" t="s">
        <v>217</v>
      </c>
    </row>
    <row r="906" spans="1:8" x14ac:dyDescent="0.2">
      <c r="A906" s="9">
        <v>905</v>
      </c>
      <c r="B906" s="3" t="s">
        <v>180</v>
      </c>
      <c r="C906" s="3" t="s">
        <v>207</v>
      </c>
      <c r="D906" s="3" t="s">
        <v>127</v>
      </c>
      <c r="E906" s="10">
        <f ca="1">TODAY()-644</f>
        <v>43578</v>
      </c>
      <c r="F906" s="4" t="b">
        <v>0</v>
      </c>
      <c r="G906" s="11">
        <v>336200</v>
      </c>
      <c r="H906" s="12" t="s">
        <v>220</v>
      </c>
    </row>
    <row r="907" spans="1:8" x14ac:dyDescent="0.2">
      <c r="A907" s="9">
        <v>906</v>
      </c>
      <c r="B907" s="3" t="s">
        <v>155</v>
      </c>
      <c r="C907" s="3" t="s">
        <v>193</v>
      </c>
      <c r="D907" s="3" t="s">
        <v>124</v>
      </c>
      <c r="E907" s="10">
        <f ca="1">TODAY()-639</f>
        <v>43583</v>
      </c>
      <c r="F907" s="4" t="b">
        <v>0</v>
      </c>
      <c r="G907" s="11">
        <v>487300</v>
      </c>
      <c r="H907" s="12" t="s">
        <v>218</v>
      </c>
    </row>
    <row r="908" spans="1:8" x14ac:dyDescent="0.2">
      <c r="A908" s="9">
        <v>907</v>
      </c>
      <c r="B908" s="3" t="s">
        <v>133</v>
      </c>
      <c r="C908" s="3" t="s">
        <v>153</v>
      </c>
      <c r="D908" s="3" t="s">
        <v>135</v>
      </c>
      <c r="E908" s="10">
        <f ca="1">TODAY()-645</f>
        <v>43577</v>
      </c>
      <c r="F908" s="4" t="b">
        <v>0</v>
      </c>
      <c r="G908" s="11">
        <v>335600</v>
      </c>
      <c r="H908" s="12" t="s">
        <v>218</v>
      </c>
    </row>
    <row r="909" spans="1:8" x14ac:dyDescent="0.2">
      <c r="A909" s="9">
        <v>908</v>
      </c>
      <c r="B909" s="3" t="s">
        <v>139</v>
      </c>
      <c r="C909" s="3" t="s">
        <v>194</v>
      </c>
      <c r="D909" s="3" t="s">
        <v>121</v>
      </c>
      <c r="E909" s="10">
        <f ca="1">TODAY()-638</f>
        <v>43584</v>
      </c>
      <c r="F909" s="4" t="b">
        <v>0</v>
      </c>
      <c r="G909" s="11">
        <v>237300</v>
      </c>
      <c r="H909" s="12" t="s">
        <v>217</v>
      </c>
    </row>
    <row r="910" spans="1:8" x14ac:dyDescent="0.2">
      <c r="A910" s="9">
        <v>909</v>
      </c>
      <c r="B910" s="3" t="s">
        <v>155</v>
      </c>
      <c r="C910" s="3" t="s">
        <v>174</v>
      </c>
      <c r="D910" s="3" t="s">
        <v>131</v>
      </c>
      <c r="E910" s="10">
        <f ca="1">TODAY()-639</f>
        <v>43583</v>
      </c>
      <c r="F910" s="4" t="b">
        <v>0</v>
      </c>
      <c r="G910" s="11">
        <v>290400</v>
      </c>
      <c r="H910" s="12" t="s">
        <v>220</v>
      </c>
    </row>
    <row r="911" spans="1:8" x14ac:dyDescent="0.2">
      <c r="A911" s="9">
        <v>910</v>
      </c>
      <c r="B911" s="3" t="s">
        <v>155</v>
      </c>
      <c r="C911" s="3" t="s">
        <v>186</v>
      </c>
      <c r="D911" s="3" t="s">
        <v>135</v>
      </c>
      <c r="E911" s="10">
        <f ca="1">TODAY()-628</f>
        <v>43594</v>
      </c>
      <c r="F911" s="4" t="b">
        <v>1</v>
      </c>
      <c r="G911" s="11">
        <v>413000</v>
      </c>
      <c r="H911" s="12" t="s">
        <v>219</v>
      </c>
    </row>
    <row r="912" spans="1:8" x14ac:dyDescent="0.2">
      <c r="A912" s="9">
        <v>911</v>
      </c>
      <c r="B912" s="3" t="s">
        <v>139</v>
      </c>
      <c r="C912" s="3" t="s">
        <v>194</v>
      </c>
      <c r="D912" s="3" t="s">
        <v>121</v>
      </c>
      <c r="E912" s="10">
        <f ca="1">TODAY()-616</f>
        <v>43606</v>
      </c>
      <c r="F912" s="4" t="b">
        <v>0</v>
      </c>
      <c r="G912" s="11">
        <v>256300</v>
      </c>
      <c r="H912" s="12" t="s">
        <v>217</v>
      </c>
    </row>
    <row r="913" spans="1:8" x14ac:dyDescent="0.2">
      <c r="A913" s="9">
        <v>912</v>
      </c>
      <c r="B913" s="3" t="s">
        <v>150</v>
      </c>
      <c r="C913" s="3" t="s">
        <v>136</v>
      </c>
      <c r="D913" s="3" t="s">
        <v>124</v>
      </c>
      <c r="E913" s="10">
        <f ca="1">TODAY()-613</f>
        <v>43609</v>
      </c>
      <c r="F913" s="4" t="b">
        <v>0</v>
      </c>
      <c r="G913" s="11">
        <v>484700</v>
      </c>
      <c r="H913" s="12" t="s">
        <v>220</v>
      </c>
    </row>
    <row r="914" spans="1:8" x14ac:dyDescent="0.2">
      <c r="A914" s="9">
        <v>913</v>
      </c>
      <c r="B914" s="3" t="s">
        <v>158</v>
      </c>
      <c r="C914" s="3" t="s">
        <v>157</v>
      </c>
      <c r="D914" s="3" t="s">
        <v>127</v>
      </c>
      <c r="E914" s="10">
        <f ca="1">TODAY()-596</f>
        <v>43626</v>
      </c>
      <c r="F914" s="4" t="b">
        <v>0</v>
      </c>
      <c r="G914" s="11">
        <v>362100</v>
      </c>
      <c r="H914" s="12" t="s">
        <v>219</v>
      </c>
    </row>
    <row r="915" spans="1:8" x14ac:dyDescent="0.2">
      <c r="A915" s="9">
        <v>914</v>
      </c>
      <c r="B915" s="3" t="s">
        <v>197</v>
      </c>
      <c r="C915" s="3" t="s">
        <v>196</v>
      </c>
      <c r="D915" s="3" t="s">
        <v>124</v>
      </c>
      <c r="E915" s="10">
        <f ca="1">TODAY()-595</f>
        <v>43627</v>
      </c>
      <c r="F915" s="4" t="b">
        <v>0</v>
      </c>
      <c r="G915" s="11">
        <v>274900</v>
      </c>
      <c r="H915" s="12" t="s">
        <v>219</v>
      </c>
    </row>
    <row r="916" spans="1:8" x14ac:dyDescent="0.2">
      <c r="A916" s="9">
        <v>915</v>
      </c>
      <c r="B916" s="3" t="s">
        <v>173</v>
      </c>
      <c r="C916" s="3" t="s">
        <v>200</v>
      </c>
      <c r="D916" s="3" t="s">
        <v>135</v>
      </c>
      <c r="E916" s="10">
        <f ca="1">TODAY()-593</f>
        <v>43629</v>
      </c>
      <c r="F916" s="4" t="b">
        <v>0</v>
      </c>
      <c r="G916" s="11">
        <v>250800</v>
      </c>
      <c r="H916" s="12" t="s">
        <v>219</v>
      </c>
    </row>
    <row r="917" spans="1:8" x14ac:dyDescent="0.2">
      <c r="A917" s="9">
        <v>916</v>
      </c>
      <c r="B917" s="3" t="s">
        <v>139</v>
      </c>
      <c r="C917" s="3" t="s">
        <v>145</v>
      </c>
      <c r="D917" s="3" t="s">
        <v>124</v>
      </c>
      <c r="E917" s="10">
        <f ca="1">TODAY()-595</f>
        <v>43627</v>
      </c>
      <c r="F917" s="4" t="b">
        <v>1</v>
      </c>
      <c r="G917" s="11">
        <v>301600</v>
      </c>
      <c r="H917" s="12" t="s">
        <v>217</v>
      </c>
    </row>
    <row r="918" spans="1:8" x14ac:dyDescent="0.2">
      <c r="A918" s="9">
        <v>917</v>
      </c>
      <c r="B918" s="3" t="s">
        <v>150</v>
      </c>
      <c r="C918" s="3" t="s">
        <v>149</v>
      </c>
      <c r="D918" s="3" t="s">
        <v>124</v>
      </c>
      <c r="E918" s="10">
        <f ca="1">TODAY()-594</f>
        <v>43628</v>
      </c>
      <c r="F918" s="4" t="b">
        <v>1</v>
      </c>
      <c r="G918" s="11">
        <v>275300</v>
      </c>
      <c r="H918" s="12" t="s">
        <v>217</v>
      </c>
    </row>
    <row r="919" spans="1:8" x14ac:dyDescent="0.2">
      <c r="A919" s="9">
        <v>918</v>
      </c>
      <c r="B919" s="3" t="s">
        <v>139</v>
      </c>
      <c r="C919" s="3" t="s">
        <v>176</v>
      </c>
      <c r="D919" s="3" t="s">
        <v>121</v>
      </c>
      <c r="E919" s="10">
        <f ca="1">TODAY()-593</f>
        <v>43629</v>
      </c>
      <c r="F919" s="4" t="b">
        <v>0</v>
      </c>
      <c r="G919" s="11">
        <v>282300</v>
      </c>
      <c r="H919" s="12" t="s">
        <v>217</v>
      </c>
    </row>
    <row r="920" spans="1:8" x14ac:dyDescent="0.2">
      <c r="A920" s="9">
        <v>919</v>
      </c>
      <c r="B920" s="3" t="s">
        <v>133</v>
      </c>
      <c r="C920" s="3" t="s">
        <v>211</v>
      </c>
      <c r="D920" s="3" t="s">
        <v>124</v>
      </c>
      <c r="E920" s="10">
        <f ca="1">TODAY()-587</f>
        <v>43635</v>
      </c>
      <c r="F920" s="4" t="b">
        <v>0</v>
      </c>
      <c r="G920" s="11">
        <v>256600</v>
      </c>
      <c r="H920" s="12" t="s">
        <v>219</v>
      </c>
    </row>
    <row r="921" spans="1:8" x14ac:dyDescent="0.2">
      <c r="A921" s="9">
        <v>920</v>
      </c>
      <c r="B921" s="3" t="s">
        <v>158</v>
      </c>
      <c r="C921" s="3" t="s">
        <v>184</v>
      </c>
      <c r="D921" s="3" t="s">
        <v>127</v>
      </c>
      <c r="E921" s="10">
        <f ca="1">TODAY()-583</f>
        <v>43639</v>
      </c>
      <c r="F921" s="4" t="b">
        <v>0</v>
      </c>
      <c r="G921" s="11">
        <v>286900</v>
      </c>
      <c r="H921" s="12" t="s">
        <v>220</v>
      </c>
    </row>
    <row r="922" spans="1:8" x14ac:dyDescent="0.2">
      <c r="A922" s="9">
        <v>921</v>
      </c>
      <c r="B922" s="3" t="s">
        <v>146</v>
      </c>
      <c r="C922" s="3" t="s">
        <v>177</v>
      </c>
      <c r="D922" s="3" t="s">
        <v>124</v>
      </c>
      <c r="E922" s="10">
        <f ca="1">TODAY()-585</f>
        <v>43637</v>
      </c>
      <c r="F922" s="4" t="b">
        <v>1</v>
      </c>
      <c r="G922" s="11">
        <v>307900</v>
      </c>
      <c r="H922" s="12" t="s">
        <v>217</v>
      </c>
    </row>
    <row r="923" spans="1:8" x14ac:dyDescent="0.2">
      <c r="A923" s="9">
        <v>922</v>
      </c>
      <c r="B923" s="3" t="s">
        <v>148</v>
      </c>
      <c r="C923" s="3" t="s">
        <v>210</v>
      </c>
      <c r="D923" s="3" t="s">
        <v>131</v>
      </c>
      <c r="E923" s="10">
        <f ca="1">TODAY()-582</f>
        <v>43640</v>
      </c>
      <c r="F923" s="4" t="b">
        <v>0</v>
      </c>
      <c r="G923" s="11">
        <v>281000</v>
      </c>
      <c r="H923" s="12" t="s">
        <v>219</v>
      </c>
    </row>
    <row r="924" spans="1:8" x14ac:dyDescent="0.2">
      <c r="A924" s="9">
        <v>923</v>
      </c>
      <c r="B924" s="3" t="s">
        <v>126</v>
      </c>
      <c r="C924" s="3" t="s">
        <v>125</v>
      </c>
      <c r="D924" s="3" t="s">
        <v>127</v>
      </c>
      <c r="E924" s="10">
        <f ca="1">TODAY()-581</f>
        <v>43641</v>
      </c>
      <c r="F924" s="4" t="b">
        <v>0</v>
      </c>
      <c r="G924" s="11">
        <v>354500</v>
      </c>
      <c r="H924" s="12" t="s">
        <v>219</v>
      </c>
    </row>
    <row r="925" spans="1:8" x14ac:dyDescent="0.2">
      <c r="A925" s="9">
        <v>924</v>
      </c>
      <c r="B925" s="3" t="s">
        <v>137</v>
      </c>
      <c r="C925" s="3" t="s">
        <v>151</v>
      </c>
      <c r="D925" s="3" t="s">
        <v>135</v>
      </c>
      <c r="E925" s="10">
        <f ca="1">TODAY()-578</f>
        <v>43644</v>
      </c>
      <c r="F925" s="4" t="b">
        <v>0</v>
      </c>
      <c r="G925" s="11">
        <v>357700</v>
      </c>
      <c r="H925" s="12" t="s">
        <v>219</v>
      </c>
    </row>
    <row r="926" spans="1:8" x14ac:dyDescent="0.2">
      <c r="A926" s="9">
        <v>925</v>
      </c>
      <c r="B926" s="3" t="s">
        <v>133</v>
      </c>
      <c r="C926" s="3" t="s">
        <v>132</v>
      </c>
      <c r="D926" s="3" t="s">
        <v>121</v>
      </c>
      <c r="E926" s="10">
        <f ca="1">TODAY()-573</f>
        <v>43649</v>
      </c>
      <c r="F926" s="4" t="b">
        <v>1</v>
      </c>
      <c r="G926" s="11">
        <v>299900</v>
      </c>
      <c r="H926" s="12" t="s">
        <v>217</v>
      </c>
    </row>
    <row r="927" spans="1:8" x14ac:dyDescent="0.2">
      <c r="A927" s="9">
        <v>926</v>
      </c>
      <c r="B927" s="3" t="s">
        <v>139</v>
      </c>
      <c r="C927" s="3" t="s">
        <v>145</v>
      </c>
      <c r="D927" s="3" t="s">
        <v>124</v>
      </c>
      <c r="E927" s="10">
        <f ca="1">TODAY()-572</f>
        <v>43650</v>
      </c>
      <c r="F927" s="4" t="b">
        <v>0</v>
      </c>
      <c r="G927" s="11">
        <v>289500</v>
      </c>
      <c r="H927" s="12" t="s">
        <v>217</v>
      </c>
    </row>
    <row r="928" spans="1:8" x14ac:dyDescent="0.2">
      <c r="A928" s="9">
        <v>927</v>
      </c>
      <c r="B928" s="3" t="s">
        <v>158</v>
      </c>
      <c r="C928" s="3" t="s">
        <v>157</v>
      </c>
      <c r="D928" s="3" t="s">
        <v>127</v>
      </c>
      <c r="E928" s="10">
        <f ca="1">TODAY()-566</f>
        <v>43656</v>
      </c>
      <c r="F928" s="4" t="b">
        <v>1</v>
      </c>
      <c r="G928" s="11">
        <v>342300</v>
      </c>
      <c r="H928" s="12" t="s">
        <v>219</v>
      </c>
    </row>
    <row r="929" spans="1:8" x14ac:dyDescent="0.2">
      <c r="A929" s="9">
        <v>928</v>
      </c>
      <c r="B929" s="3" t="s">
        <v>155</v>
      </c>
      <c r="C929" s="3" t="s">
        <v>193</v>
      </c>
      <c r="D929" s="3" t="s">
        <v>124</v>
      </c>
      <c r="E929" s="10">
        <f ca="1">TODAY()-554</f>
        <v>43668</v>
      </c>
      <c r="F929" s="4" t="b">
        <v>0</v>
      </c>
      <c r="G929" s="11">
        <v>282900</v>
      </c>
      <c r="H929" s="12" t="s">
        <v>218</v>
      </c>
    </row>
    <row r="930" spans="1:8" x14ac:dyDescent="0.2">
      <c r="A930" s="9">
        <v>929</v>
      </c>
      <c r="B930" s="3" t="s">
        <v>191</v>
      </c>
      <c r="C930" s="3" t="s">
        <v>190</v>
      </c>
      <c r="D930" s="3" t="s">
        <v>124</v>
      </c>
      <c r="E930" s="10">
        <f ca="1">TODAY()-555</f>
        <v>43667</v>
      </c>
      <c r="F930" s="4" t="b">
        <v>0</v>
      </c>
      <c r="G930" s="11">
        <v>256900</v>
      </c>
      <c r="H930" s="12" t="s">
        <v>217</v>
      </c>
    </row>
    <row r="931" spans="1:8" x14ac:dyDescent="0.2">
      <c r="A931" s="9">
        <v>930</v>
      </c>
      <c r="B931" s="3" t="s">
        <v>143</v>
      </c>
      <c r="C931" s="3" t="s">
        <v>206</v>
      </c>
      <c r="D931" s="3" t="s">
        <v>135</v>
      </c>
      <c r="E931" s="10">
        <f ca="1">TODAY()-537</f>
        <v>43685</v>
      </c>
      <c r="F931" s="4" t="b">
        <v>1</v>
      </c>
      <c r="G931" s="11">
        <v>269800</v>
      </c>
      <c r="H931" s="12" t="s">
        <v>219</v>
      </c>
    </row>
    <row r="932" spans="1:8" x14ac:dyDescent="0.2">
      <c r="A932" s="9">
        <v>931</v>
      </c>
      <c r="B932" s="3" t="s">
        <v>155</v>
      </c>
      <c r="C932" s="3" t="s">
        <v>186</v>
      </c>
      <c r="D932" s="3" t="s">
        <v>135</v>
      </c>
      <c r="E932" s="10">
        <f ca="1">TODAY()-537</f>
        <v>43685</v>
      </c>
      <c r="F932" s="4" t="b">
        <v>0</v>
      </c>
      <c r="G932" s="11">
        <v>288300</v>
      </c>
      <c r="H932" s="12" t="s">
        <v>219</v>
      </c>
    </row>
    <row r="933" spans="1:8" x14ac:dyDescent="0.2">
      <c r="A933" s="9">
        <v>932</v>
      </c>
      <c r="B933" s="3" t="s">
        <v>129</v>
      </c>
      <c r="C933" s="3" t="s">
        <v>161</v>
      </c>
      <c r="D933" s="3" t="s">
        <v>121</v>
      </c>
      <c r="E933" s="10">
        <f ca="1">TODAY()-538</f>
        <v>43684</v>
      </c>
      <c r="F933" s="4" t="b">
        <v>0</v>
      </c>
      <c r="G933" s="11">
        <v>411800</v>
      </c>
      <c r="H933" s="12" t="s">
        <v>218</v>
      </c>
    </row>
    <row r="934" spans="1:8" x14ac:dyDescent="0.2">
      <c r="A934" s="9">
        <v>933</v>
      </c>
      <c r="B934" s="3" t="s">
        <v>158</v>
      </c>
      <c r="C934" s="3" t="s">
        <v>184</v>
      </c>
      <c r="D934" s="3" t="s">
        <v>127</v>
      </c>
      <c r="E934" s="10">
        <f ca="1">TODAY()-538</f>
        <v>43684</v>
      </c>
      <c r="F934" s="4" t="b">
        <v>1</v>
      </c>
      <c r="G934" s="11">
        <v>250500</v>
      </c>
      <c r="H934" s="12" t="s">
        <v>220</v>
      </c>
    </row>
    <row r="935" spans="1:8" x14ac:dyDescent="0.2">
      <c r="A935" s="9">
        <v>934</v>
      </c>
      <c r="B935" s="3" t="s">
        <v>148</v>
      </c>
      <c r="C935" s="3" t="s">
        <v>187</v>
      </c>
      <c r="D935" s="3" t="s">
        <v>131</v>
      </c>
      <c r="E935" s="10">
        <f ca="1">TODAY()-536</f>
        <v>43686</v>
      </c>
      <c r="F935" s="4" t="b">
        <v>1</v>
      </c>
      <c r="G935" s="11">
        <v>274400</v>
      </c>
      <c r="H935" s="12" t="s">
        <v>218</v>
      </c>
    </row>
    <row r="936" spans="1:8" x14ac:dyDescent="0.2">
      <c r="A936" s="9">
        <v>935</v>
      </c>
      <c r="B936" s="3" t="s">
        <v>133</v>
      </c>
      <c r="C936" s="3" t="s">
        <v>211</v>
      </c>
      <c r="D936" s="3" t="s">
        <v>124</v>
      </c>
      <c r="E936" s="10">
        <f ca="1">TODAY()-528</f>
        <v>43694</v>
      </c>
      <c r="F936" s="4" t="b">
        <v>1</v>
      </c>
      <c r="G936" s="11">
        <v>296000</v>
      </c>
      <c r="H936" s="12" t="s">
        <v>219</v>
      </c>
    </row>
    <row r="937" spans="1:8" x14ac:dyDescent="0.2">
      <c r="A937" s="9">
        <v>936</v>
      </c>
      <c r="B937" s="3" t="s">
        <v>173</v>
      </c>
      <c r="C937" s="3" t="s">
        <v>200</v>
      </c>
      <c r="D937" s="3" t="s">
        <v>135</v>
      </c>
      <c r="E937" s="10">
        <f ca="1">TODAY()-527</f>
        <v>43695</v>
      </c>
      <c r="F937" s="4" t="b">
        <v>0</v>
      </c>
      <c r="G937" s="11">
        <v>237900</v>
      </c>
      <c r="H937" s="12" t="s">
        <v>219</v>
      </c>
    </row>
    <row r="938" spans="1:8" x14ac:dyDescent="0.2">
      <c r="A938" s="9">
        <v>937</v>
      </c>
      <c r="B938" s="3" t="s">
        <v>143</v>
      </c>
      <c r="C938" s="3" t="s">
        <v>166</v>
      </c>
      <c r="D938" s="3" t="s">
        <v>121</v>
      </c>
      <c r="E938" s="10">
        <f ca="1">TODAY()-520</f>
        <v>43702</v>
      </c>
      <c r="F938" s="4" t="b">
        <v>0</v>
      </c>
      <c r="G938" s="11">
        <v>369700</v>
      </c>
      <c r="H938" s="12" t="s">
        <v>220</v>
      </c>
    </row>
    <row r="939" spans="1:8" x14ac:dyDescent="0.2">
      <c r="A939" s="9">
        <v>938</v>
      </c>
      <c r="B939" s="3" t="s">
        <v>123</v>
      </c>
      <c r="C939" s="3" t="s">
        <v>122</v>
      </c>
      <c r="D939" s="3" t="s">
        <v>124</v>
      </c>
      <c r="E939" s="10">
        <f ca="1">TODAY()-528</f>
        <v>43694</v>
      </c>
      <c r="F939" s="4" t="b">
        <v>0</v>
      </c>
      <c r="G939" s="11">
        <v>268800</v>
      </c>
      <c r="H939" s="12" t="s">
        <v>218</v>
      </c>
    </row>
    <row r="940" spans="1:8" x14ac:dyDescent="0.2">
      <c r="A940" s="9">
        <v>939</v>
      </c>
      <c r="B940" s="3" t="s">
        <v>146</v>
      </c>
      <c r="C940" s="3" t="s">
        <v>201</v>
      </c>
      <c r="D940" s="3" t="s">
        <v>135</v>
      </c>
      <c r="E940" s="10">
        <f ca="1">TODAY()-510</f>
        <v>43712</v>
      </c>
      <c r="F940" s="4" t="b">
        <v>0</v>
      </c>
      <c r="G940" s="11">
        <v>240700</v>
      </c>
      <c r="H940" s="12" t="s">
        <v>220</v>
      </c>
    </row>
    <row r="941" spans="1:8" x14ac:dyDescent="0.2">
      <c r="A941" s="9">
        <v>940</v>
      </c>
      <c r="B941" s="3" t="s">
        <v>155</v>
      </c>
      <c r="C941" s="3" t="s">
        <v>174</v>
      </c>
      <c r="D941" s="3" t="s">
        <v>131</v>
      </c>
      <c r="E941" s="10">
        <f ca="1">TODAY()-514</f>
        <v>43708</v>
      </c>
      <c r="F941" s="4" t="b">
        <v>1</v>
      </c>
      <c r="G941" s="11">
        <v>791600</v>
      </c>
      <c r="H941" s="12" t="s">
        <v>220</v>
      </c>
    </row>
    <row r="942" spans="1:8" x14ac:dyDescent="0.2">
      <c r="A942" s="9">
        <v>941</v>
      </c>
      <c r="B942" s="3" t="s">
        <v>150</v>
      </c>
      <c r="C942" s="3" t="s">
        <v>136</v>
      </c>
      <c r="D942" s="3" t="s">
        <v>124</v>
      </c>
      <c r="E942" s="10">
        <f ca="1">TODAY()-510</f>
        <v>43712</v>
      </c>
      <c r="F942" s="4" t="b">
        <v>1</v>
      </c>
      <c r="G942" s="11">
        <v>279400</v>
      </c>
      <c r="H942" s="12" t="s">
        <v>220</v>
      </c>
    </row>
    <row r="943" spans="1:8" x14ac:dyDescent="0.2">
      <c r="A943" s="9">
        <v>942</v>
      </c>
      <c r="B943" s="3" t="s">
        <v>158</v>
      </c>
      <c r="C943" s="3" t="s">
        <v>157</v>
      </c>
      <c r="D943" s="3" t="s">
        <v>127</v>
      </c>
      <c r="E943" s="10">
        <f ca="1">TODAY()-507</f>
        <v>43715</v>
      </c>
      <c r="F943" s="4" t="b">
        <v>1</v>
      </c>
      <c r="G943" s="11">
        <v>497800</v>
      </c>
      <c r="H943" s="12" t="s">
        <v>219</v>
      </c>
    </row>
    <row r="944" spans="1:8" x14ac:dyDescent="0.2">
      <c r="A944" s="9">
        <v>943</v>
      </c>
      <c r="B944" s="3" t="s">
        <v>143</v>
      </c>
      <c r="C944" s="3" t="s">
        <v>181</v>
      </c>
      <c r="D944" s="3" t="s">
        <v>121</v>
      </c>
      <c r="E944" s="10">
        <f ca="1">TODAY()-505</f>
        <v>43717</v>
      </c>
      <c r="F944" s="4" t="b">
        <v>0</v>
      </c>
      <c r="G944" s="11">
        <v>390800</v>
      </c>
      <c r="H944" s="12" t="s">
        <v>218</v>
      </c>
    </row>
    <row r="945" spans="1:8" x14ac:dyDescent="0.2">
      <c r="A945" s="9">
        <v>944</v>
      </c>
      <c r="B945" s="3" t="s">
        <v>148</v>
      </c>
      <c r="C945" s="3" t="s">
        <v>147</v>
      </c>
      <c r="D945" s="3" t="s">
        <v>121</v>
      </c>
      <c r="E945" s="10">
        <f ca="1">TODAY()-506</f>
        <v>43716</v>
      </c>
      <c r="F945" s="4" t="b">
        <v>0</v>
      </c>
      <c r="G945" s="11">
        <v>485300</v>
      </c>
      <c r="H945" s="12" t="s">
        <v>218</v>
      </c>
    </row>
    <row r="946" spans="1:8" x14ac:dyDescent="0.2">
      <c r="A946" s="9">
        <v>945</v>
      </c>
      <c r="B946" s="3" t="s">
        <v>148</v>
      </c>
      <c r="C946" s="3" t="s">
        <v>187</v>
      </c>
      <c r="D946" s="3" t="s">
        <v>131</v>
      </c>
      <c r="E946" s="10">
        <f ca="1">TODAY()-505</f>
        <v>43717</v>
      </c>
      <c r="F946" s="4" t="b">
        <v>0</v>
      </c>
      <c r="G946" s="11">
        <v>666500</v>
      </c>
      <c r="H946" s="12" t="s">
        <v>218</v>
      </c>
    </row>
    <row r="947" spans="1:8" x14ac:dyDescent="0.2">
      <c r="A947" s="9">
        <v>946</v>
      </c>
      <c r="B947" s="3" t="s">
        <v>155</v>
      </c>
      <c r="C947" s="3" t="s">
        <v>209</v>
      </c>
      <c r="D947" s="3" t="s">
        <v>121</v>
      </c>
      <c r="E947" s="10">
        <f ca="1">TODAY()-498</f>
        <v>43724</v>
      </c>
      <c r="F947" s="4" t="b">
        <v>0</v>
      </c>
      <c r="G947" s="11">
        <v>285500</v>
      </c>
      <c r="H947" s="12" t="s">
        <v>219</v>
      </c>
    </row>
    <row r="948" spans="1:8" x14ac:dyDescent="0.2">
      <c r="A948" s="9">
        <v>947</v>
      </c>
      <c r="B948" s="3" t="s">
        <v>120</v>
      </c>
      <c r="C948" s="3" t="s">
        <v>170</v>
      </c>
      <c r="D948" s="3" t="s">
        <v>121</v>
      </c>
      <c r="E948" s="10">
        <f ca="1">TODAY()-488</f>
        <v>43734</v>
      </c>
      <c r="F948" s="4" t="b">
        <v>0</v>
      </c>
      <c r="G948" s="11">
        <v>289800</v>
      </c>
      <c r="H948" s="12" t="s">
        <v>220</v>
      </c>
    </row>
    <row r="949" spans="1:8" x14ac:dyDescent="0.2">
      <c r="A949" s="9">
        <v>948</v>
      </c>
      <c r="B949" s="3" t="s">
        <v>137</v>
      </c>
      <c r="C949" s="3" t="s">
        <v>151</v>
      </c>
      <c r="D949" s="3" t="s">
        <v>135</v>
      </c>
      <c r="E949" s="10">
        <f ca="1">TODAY()-487</f>
        <v>43735</v>
      </c>
      <c r="F949" s="4" t="b">
        <v>1</v>
      </c>
      <c r="G949" s="11">
        <v>806000</v>
      </c>
      <c r="H949" s="12" t="s">
        <v>219</v>
      </c>
    </row>
    <row r="950" spans="1:8" x14ac:dyDescent="0.2">
      <c r="A950" s="9">
        <v>949</v>
      </c>
      <c r="B950" s="3" t="s">
        <v>148</v>
      </c>
      <c r="C950" s="3" t="s">
        <v>147</v>
      </c>
      <c r="D950" s="3" t="s">
        <v>121</v>
      </c>
      <c r="E950" s="10">
        <f ca="1">TODAY()-490</f>
        <v>43732</v>
      </c>
      <c r="F950" s="4" t="b">
        <v>1</v>
      </c>
      <c r="G950" s="11">
        <v>292600</v>
      </c>
      <c r="H950" s="12" t="s">
        <v>218</v>
      </c>
    </row>
    <row r="951" spans="1:8" x14ac:dyDescent="0.2">
      <c r="A951" s="9">
        <v>950</v>
      </c>
      <c r="B951" s="3" t="s">
        <v>143</v>
      </c>
      <c r="C951" s="3" t="s">
        <v>166</v>
      </c>
      <c r="D951" s="3" t="s">
        <v>121</v>
      </c>
      <c r="E951" s="10">
        <f ca="1">TODAY()-481</f>
        <v>43741</v>
      </c>
      <c r="F951" s="4" t="b">
        <v>0</v>
      </c>
      <c r="G951" s="11">
        <v>350000</v>
      </c>
      <c r="H951" s="12" t="s">
        <v>220</v>
      </c>
    </row>
    <row r="952" spans="1:8" x14ac:dyDescent="0.2">
      <c r="A952" s="9">
        <v>951</v>
      </c>
      <c r="B952" s="3" t="s">
        <v>143</v>
      </c>
      <c r="C952" s="3" t="s">
        <v>203</v>
      </c>
      <c r="D952" s="3" t="s">
        <v>124</v>
      </c>
      <c r="E952" s="10">
        <f ca="1">TODAY()-476</f>
        <v>43746</v>
      </c>
      <c r="F952" s="4" t="b">
        <v>0</v>
      </c>
      <c r="G952" s="11">
        <v>299100</v>
      </c>
      <c r="H952" s="12" t="s">
        <v>219</v>
      </c>
    </row>
    <row r="953" spans="1:8" x14ac:dyDescent="0.2">
      <c r="A953" s="9">
        <v>952</v>
      </c>
      <c r="B953" s="3" t="s">
        <v>139</v>
      </c>
      <c r="C953" s="3" t="s">
        <v>194</v>
      </c>
      <c r="D953" s="3" t="s">
        <v>121</v>
      </c>
      <c r="E953" s="10">
        <f ca="1">TODAY()-479</f>
        <v>43743</v>
      </c>
      <c r="F953" s="4" t="b">
        <v>0</v>
      </c>
      <c r="G953" s="11">
        <v>306500</v>
      </c>
      <c r="H953" s="12" t="s">
        <v>217</v>
      </c>
    </row>
    <row r="954" spans="1:8" x14ac:dyDescent="0.2">
      <c r="A954" s="9">
        <v>953</v>
      </c>
      <c r="B954" s="3" t="s">
        <v>197</v>
      </c>
      <c r="C954" s="3" t="s">
        <v>196</v>
      </c>
      <c r="D954" s="3" t="s">
        <v>124</v>
      </c>
      <c r="E954" s="10">
        <f ca="1">TODAY()-467</f>
        <v>43755</v>
      </c>
      <c r="F954" s="4" t="b">
        <v>0</v>
      </c>
      <c r="G954" s="11">
        <v>249600</v>
      </c>
      <c r="H954" s="12" t="s">
        <v>219</v>
      </c>
    </row>
    <row r="955" spans="1:8" x14ac:dyDescent="0.2">
      <c r="A955" s="9">
        <v>954</v>
      </c>
      <c r="B955" s="3" t="s">
        <v>148</v>
      </c>
      <c r="C955" s="3" t="s">
        <v>187</v>
      </c>
      <c r="D955" s="3" t="s">
        <v>131</v>
      </c>
      <c r="E955" s="10">
        <f ca="1">TODAY()-457</f>
        <v>43765</v>
      </c>
      <c r="F955" s="4" t="b">
        <v>0</v>
      </c>
      <c r="G955" s="11">
        <v>347800</v>
      </c>
      <c r="H955" s="12" t="s">
        <v>218</v>
      </c>
    </row>
    <row r="956" spans="1:8" x14ac:dyDescent="0.2">
      <c r="A956" s="9">
        <v>955</v>
      </c>
      <c r="B956" s="3" t="s">
        <v>155</v>
      </c>
      <c r="C956" s="3" t="s">
        <v>193</v>
      </c>
      <c r="D956" s="3" t="s">
        <v>124</v>
      </c>
      <c r="E956" s="10">
        <f ca="1">TODAY()-451</f>
        <v>43771</v>
      </c>
      <c r="F956" s="4" t="b">
        <v>0</v>
      </c>
      <c r="G956" s="11">
        <v>264600</v>
      </c>
      <c r="H956" s="12" t="s">
        <v>218</v>
      </c>
    </row>
    <row r="957" spans="1:8" x14ac:dyDescent="0.2">
      <c r="A957" s="9">
        <v>956</v>
      </c>
      <c r="B957" s="3" t="s">
        <v>158</v>
      </c>
      <c r="C957" s="3" t="s">
        <v>157</v>
      </c>
      <c r="D957" s="3" t="s">
        <v>127</v>
      </c>
      <c r="E957" s="10">
        <f ca="1">TODAY()-445</f>
        <v>43777</v>
      </c>
      <c r="F957" s="4" t="b">
        <v>1</v>
      </c>
      <c r="G957" s="11">
        <v>244200</v>
      </c>
      <c r="H957" s="12" t="s">
        <v>219</v>
      </c>
    </row>
    <row r="958" spans="1:8" x14ac:dyDescent="0.2">
      <c r="A958" s="9">
        <v>957</v>
      </c>
      <c r="B958" s="3" t="s">
        <v>120</v>
      </c>
      <c r="C958" s="3" t="s">
        <v>165</v>
      </c>
      <c r="D958" s="3" t="s">
        <v>131</v>
      </c>
      <c r="E958" s="10">
        <f ca="1">TODAY()-433</f>
        <v>43789</v>
      </c>
      <c r="F958" s="4" t="b">
        <v>0</v>
      </c>
      <c r="G958" s="11">
        <v>254600</v>
      </c>
      <c r="H958" s="12" t="s">
        <v>217</v>
      </c>
    </row>
    <row r="959" spans="1:8" x14ac:dyDescent="0.2">
      <c r="A959" s="9">
        <v>958</v>
      </c>
      <c r="B959" s="3" t="s">
        <v>180</v>
      </c>
      <c r="C959" s="3" t="s">
        <v>207</v>
      </c>
      <c r="D959" s="3" t="s">
        <v>127</v>
      </c>
      <c r="E959" s="10">
        <f ca="1">TODAY()-439</f>
        <v>43783</v>
      </c>
      <c r="F959" s="4" t="b">
        <v>0</v>
      </c>
      <c r="G959" s="11">
        <v>272300</v>
      </c>
      <c r="H959" s="12" t="s">
        <v>220</v>
      </c>
    </row>
    <row r="960" spans="1:8" x14ac:dyDescent="0.2">
      <c r="A960" s="9">
        <v>959</v>
      </c>
      <c r="B960" s="3" t="s">
        <v>173</v>
      </c>
      <c r="C960" s="3" t="s">
        <v>185</v>
      </c>
      <c r="D960" s="3" t="s">
        <v>131</v>
      </c>
      <c r="E960" s="10">
        <f ca="1">TODAY()-425</f>
        <v>43797</v>
      </c>
      <c r="F960" s="4" t="b">
        <v>0</v>
      </c>
      <c r="G960" s="11">
        <v>341000</v>
      </c>
      <c r="H960" s="12" t="s">
        <v>217</v>
      </c>
    </row>
    <row r="961" spans="1:8" x14ac:dyDescent="0.2">
      <c r="A961" s="9">
        <v>960</v>
      </c>
      <c r="B961" s="3" t="s">
        <v>139</v>
      </c>
      <c r="C961" s="3" t="s">
        <v>138</v>
      </c>
      <c r="D961" s="3" t="s">
        <v>135</v>
      </c>
      <c r="E961" s="10">
        <f ca="1">TODAY()-429</f>
        <v>43793</v>
      </c>
      <c r="F961" s="4" t="b">
        <v>1</v>
      </c>
      <c r="G961" s="11">
        <v>248000</v>
      </c>
      <c r="H961" s="12" t="s">
        <v>220</v>
      </c>
    </row>
    <row r="962" spans="1:8" x14ac:dyDescent="0.2">
      <c r="A962" s="9">
        <v>961</v>
      </c>
      <c r="B962" s="3" t="s">
        <v>146</v>
      </c>
      <c r="C962" s="3" t="s">
        <v>160</v>
      </c>
      <c r="D962" s="3" t="s">
        <v>121</v>
      </c>
      <c r="E962" s="10">
        <f ca="1">TODAY()-416</f>
        <v>43806</v>
      </c>
      <c r="F962" s="4" t="b">
        <v>1</v>
      </c>
      <c r="G962" s="11">
        <v>407800</v>
      </c>
      <c r="H962" s="12" t="s">
        <v>218</v>
      </c>
    </row>
    <row r="963" spans="1:8" x14ac:dyDescent="0.2">
      <c r="A963" s="9">
        <v>962</v>
      </c>
      <c r="B963" s="3" t="s">
        <v>191</v>
      </c>
      <c r="C963" s="3" t="s">
        <v>204</v>
      </c>
      <c r="D963" s="3" t="s">
        <v>135</v>
      </c>
      <c r="E963" s="10">
        <f ca="1">TODAY()-421</f>
        <v>43801</v>
      </c>
      <c r="F963" s="4" t="b">
        <v>0</v>
      </c>
      <c r="G963" s="11">
        <v>245600</v>
      </c>
      <c r="H963" s="12" t="s">
        <v>220</v>
      </c>
    </row>
    <row r="964" spans="1:8" x14ac:dyDescent="0.2">
      <c r="A964" s="9">
        <v>963</v>
      </c>
      <c r="B964" s="3" t="s">
        <v>155</v>
      </c>
      <c r="C964" s="3" t="s">
        <v>209</v>
      </c>
      <c r="D964" s="3" t="s">
        <v>121</v>
      </c>
      <c r="E964" s="10">
        <f ca="1">TODAY()-419</f>
        <v>43803</v>
      </c>
      <c r="F964" s="4" t="b">
        <v>0</v>
      </c>
      <c r="G964" s="11">
        <v>255800</v>
      </c>
      <c r="H964" s="12" t="s">
        <v>219</v>
      </c>
    </row>
    <row r="965" spans="1:8" x14ac:dyDescent="0.2">
      <c r="A965" s="9">
        <v>964</v>
      </c>
      <c r="B965" s="3" t="s">
        <v>123</v>
      </c>
      <c r="C965" s="3" t="s">
        <v>189</v>
      </c>
      <c r="D965" s="3" t="s">
        <v>121</v>
      </c>
      <c r="E965" s="10">
        <f ca="1">TODAY()-421</f>
        <v>43801</v>
      </c>
      <c r="F965" s="4" t="b">
        <v>0</v>
      </c>
      <c r="G965" s="11">
        <v>465900</v>
      </c>
      <c r="H965" s="12" t="s">
        <v>218</v>
      </c>
    </row>
    <row r="966" spans="1:8" x14ac:dyDescent="0.2">
      <c r="A966" s="9">
        <v>965</v>
      </c>
      <c r="B966" s="3" t="s">
        <v>155</v>
      </c>
      <c r="C966" s="3" t="s">
        <v>164</v>
      </c>
      <c r="D966" s="3" t="s">
        <v>124</v>
      </c>
      <c r="E966" s="10">
        <f ca="1">TODAY()-414</f>
        <v>43808</v>
      </c>
      <c r="F966" s="4" t="b">
        <v>0</v>
      </c>
      <c r="G966" s="11">
        <v>245000</v>
      </c>
      <c r="H966" s="12" t="s">
        <v>220</v>
      </c>
    </row>
    <row r="967" spans="1:8" x14ac:dyDescent="0.2">
      <c r="A967" s="9">
        <v>966</v>
      </c>
      <c r="B967" s="3" t="s">
        <v>120</v>
      </c>
      <c r="C967" s="3" t="s">
        <v>205</v>
      </c>
      <c r="D967" s="3" t="s">
        <v>131</v>
      </c>
      <c r="E967" s="10">
        <f ca="1">TODAY()-417</f>
        <v>43805</v>
      </c>
      <c r="F967" s="4" t="b">
        <v>1</v>
      </c>
      <c r="G967" s="11">
        <v>249500</v>
      </c>
      <c r="H967" s="12" t="s">
        <v>219</v>
      </c>
    </row>
    <row r="968" spans="1:8" x14ac:dyDescent="0.2">
      <c r="A968" s="9">
        <v>967</v>
      </c>
      <c r="B968" s="3" t="s">
        <v>120</v>
      </c>
      <c r="C968" s="3" t="s">
        <v>205</v>
      </c>
      <c r="D968" s="3" t="s">
        <v>131</v>
      </c>
      <c r="E968" s="10">
        <f ca="1">TODAY()-401</f>
        <v>43821</v>
      </c>
      <c r="F968" s="4" t="b">
        <v>1</v>
      </c>
      <c r="G968" s="11">
        <v>268500</v>
      </c>
      <c r="H968" s="12" t="s">
        <v>219</v>
      </c>
    </row>
    <row r="969" spans="1:8" x14ac:dyDescent="0.2">
      <c r="A969" s="9">
        <v>968</v>
      </c>
      <c r="B969" s="3" t="s">
        <v>148</v>
      </c>
      <c r="C969" s="3" t="s">
        <v>172</v>
      </c>
      <c r="D969" s="3" t="s">
        <v>121</v>
      </c>
      <c r="E969" s="10">
        <f ca="1">TODAY()-402</f>
        <v>43820</v>
      </c>
      <c r="F969" s="4" t="b">
        <v>0</v>
      </c>
      <c r="G969" s="11">
        <v>931400</v>
      </c>
      <c r="H969" s="12" t="s">
        <v>218</v>
      </c>
    </row>
    <row r="970" spans="1:8" x14ac:dyDescent="0.2">
      <c r="A970" s="9">
        <v>969</v>
      </c>
      <c r="B970" s="3" t="s">
        <v>129</v>
      </c>
      <c r="C970" s="3" t="s">
        <v>161</v>
      </c>
      <c r="D970" s="3" t="s">
        <v>121</v>
      </c>
      <c r="E970" s="10">
        <f ca="1">TODAY()-393</f>
        <v>43829</v>
      </c>
      <c r="F970" s="4" t="b">
        <v>0</v>
      </c>
      <c r="G970" s="11">
        <v>317300</v>
      </c>
      <c r="H970" s="12" t="s">
        <v>218</v>
      </c>
    </row>
    <row r="971" spans="1:8" x14ac:dyDescent="0.2">
      <c r="A971" s="9">
        <v>970</v>
      </c>
      <c r="B971" s="3" t="s">
        <v>180</v>
      </c>
      <c r="C971" s="3" t="s">
        <v>207</v>
      </c>
      <c r="D971" s="3" t="s">
        <v>127</v>
      </c>
      <c r="E971" s="10">
        <f ca="1">TODAY()-394</f>
        <v>43828</v>
      </c>
      <c r="F971" s="4" t="b">
        <v>0</v>
      </c>
      <c r="G971" s="11">
        <v>284400</v>
      </c>
      <c r="H971" s="12" t="s">
        <v>220</v>
      </c>
    </row>
    <row r="972" spans="1:8" x14ac:dyDescent="0.2">
      <c r="A972" s="9">
        <v>971</v>
      </c>
      <c r="B972" s="3" t="s">
        <v>137</v>
      </c>
      <c r="C972" s="3" t="s">
        <v>151</v>
      </c>
      <c r="D972" s="3" t="s">
        <v>135</v>
      </c>
      <c r="E972" s="10">
        <f ca="1">TODAY()-379</f>
        <v>43843</v>
      </c>
      <c r="F972" s="4" t="b">
        <v>0</v>
      </c>
      <c r="G972" s="11">
        <v>272400</v>
      </c>
      <c r="H972" s="12" t="s">
        <v>219</v>
      </c>
    </row>
    <row r="973" spans="1:8" x14ac:dyDescent="0.2">
      <c r="A973" s="9">
        <v>972</v>
      </c>
      <c r="B973" s="3" t="s">
        <v>180</v>
      </c>
      <c r="C973" s="3" t="s">
        <v>179</v>
      </c>
      <c r="D973" s="3" t="s">
        <v>127</v>
      </c>
      <c r="E973" s="10">
        <f ca="1">TODAY()-381</f>
        <v>43841</v>
      </c>
      <c r="F973" s="4" t="b">
        <v>0</v>
      </c>
      <c r="G973" s="11">
        <v>246400</v>
      </c>
      <c r="H973" s="12" t="s">
        <v>220</v>
      </c>
    </row>
    <row r="974" spans="1:8" x14ac:dyDescent="0.2">
      <c r="A974" s="9">
        <v>973</v>
      </c>
      <c r="B974" s="3" t="s">
        <v>143</v>
      </c>
      <c r="C974" s="3" t="s">
        <v>181</v>
      </c>
      <c r="D974" s="3" t="s">
        <v>121</v>
      </c>
      <c r="E974" s="10">
        <f ca="1">TODAY()-378</f>
        <v>43844</v>
      </c>
      <c r="F974" s="4" t="b">
        <v>0</v>
      </c>
      <c r="G974" s="11">
        <v>1048200</v>
      </c>
      <c r="H974" s="12" t="s">
        <v>218</v>
      </c>
    </row>
    <row r="975" spans="1:8" x14ac:dyDescent="0.2">
      <c r="A975" s="9">
        <v>974</v>
      </c>
      <c r="B975" s="3" t="s">
        <v>129</v>
      </c>
      <c r="C975" s="3" t="s">
        <v>161</v>
      </c>
      <c r="D975" s="3" t="s">
        <v>121</v>
      </c>
      <c r="E975" s="10">
        <f ca="1">TODAY()-369</f>
        <v>43853</v>
      </c>
      <c r="F975" s="4" t="b">
        <v>1</v>
      </c>
      <c r="G975" s="11">
        <v>294800</v>
      </c>
      <c r="H975" s="12" t="s">
        <v>218</v>
      </c>
    </row>
    <row r="976" spans="1:8" x14ac:dyDescent="0.2">
      <c r="A976" s="9">
        <v>975</v>
      </c>
      <c r="B976" s="3" t="s">
        <v>191</v>
      </c>
      <c r="C976" s="3" t="s">
        <v>190</v>
      </c>
      <c r="D976" s="3" t="s">
        <v>124</v>
      </c>
      <c r="E976" s="10">
        <f ca="1">TODAY()-367</f>
        <v>43855</v>
      </c>
      <c r="F976" s="4" t="b">
        <v>0</v>
      </c>
      <c r="G976" s="13">
        <v>618400</v>
      </c>
      <c r="H976" s="12" t="s">
        <v>217</v>
      </c>
    </row>
    <row r="977" spans="1:8" x14ac:dyDescent="0.2">
      <c r="A977" s="9">
        <v>976</v>
      </c>
      <c r="B977" s="3" t="s">
        <v>155</v>
      </c>
      <c r="C977" s="3" t="s">
        <v>154</v>
      </c>
      <c r="D977" s="3" t="s">
        <v>124</v>
      </c>
      <c r="E977" s="10">
        <f ca="1">TODAY()-362</f>
        <v>43860</v>
      </c>
      <c r="F977" s="4" t="b">
        <v>0</v>
      </c>
      <c r="G977" s="11">
        <v>240800</v>
      </c>
      <c r="H977" s="12" t="s">
        <v>220</v>
      </c>
    </row>
    <row r="978" spans="1:8" x14ac:dyDescent="0.2">
      <c r="A978" s="9">
        <v>977</v>
      </c>
      <c r="B978" s="3" t="s">
        <v>158</v>
      </c>
      <c r="C978" s="3" t="s">
        <v>157</v>
      </c>
      <c r="D978" s="3" t="s">
        <v>127</v>
      </c>
      <c r="E978" s="10">
        <f ca="1">TODAY()-355</f>
        <v>43867</v>
      </c>
      <c r="F978" s="4" t="b">
        <v>1</v>
      </c>
      <c r="G978" s="11">
        <v>308300</v>
      </c>
      <c r="H978" s="12" t="s">
        <v>219</v>
      </c>
    </row>
    <row r="979" spans="1:8" x14ac:dyDescent="0.2">
      <c r="A979" s="9">
        <v>978</v>
      </c>
      <c r="B979" s="3" t="s">
        <v>146</v>
      </c>
      <c r="C979" s="3" t="s">
        <v>182</v>
      </c>
      <c r="D979" s="3" t="s">
        <v>121</v>
      </c>
      <c r="E979" s="10">
        <f ca="1">TODAY()-359</f>
        <v>43863</v>
      </c>
      <c r="F979" s="4" t="b">
        <v>1</v>
      </c>
      <c r="G979" s="11">
        <v>266400</v>
      </c>
      <c r="H979" s="12" t="s">
        <v>218</v>
      </c>
    </row>
    <row r="980" spans="1:8" x14ac:dyDescent="0.2">
      <c r="A980" s="9">
        <v>979</v>
      </c>
      <c r="B980" s="3" t="s">
        <v>133</v>
      </c>
      <c r="C980" s="3" t="s">
        <v>171</v>
      </c>
      <c r="D980" s="3" t="s">
        <v>131</v>
      </c>
      <c r="E980" s="10">
        <f ca="1">TODAY()-354</f>
        <v>43868</v>
      </c>
      <c r="F980" s="4" t="b">
        <v>1</v>
      </c>
      <c r="G980" s="11">
        <v>414900</v>
      </c>
      <c r="H980" s="12" t="s">
        <v>217</v>
      </c>
    </row>
    <row r="981" spans="1:8" x14ac:dyDescent="0.2">
      <c r="A981" s="9">
        <v>980</v>
      </c>
      <c r="B981" s="3" t="s">
        <v>148</v>
      </c>
      <c r="C981" s="3" t="s">
        <v>172</v>
      </c>
      <c r="D981" s="3" t="s">
        <v>121</v>
      </c>
      <c r="E981" s="10">
        <f ca="1">TODAY()-347</f>
        <v>43875</v>
      </c>
      <c r="F981" s="4" t="b">
        <v>0</v>
      </c>
      <c r="G981" s="11">
        <v>397300</v>
      </c>
      <c r="H981" s="12" t="s">
        <v>218</v>
      </c>
    </row>
    <row r="982" spans="1:8" x14ac:dyDescent="0.2">
      <c r="A982" s="9">
        <v>981</v>
      </c>
      <c r="B982" s="3" t="s">
        <v>146</v>
      </c>
      <c r="C982" s="3" t="s">
        <v>198</v>
      </c>
      <c r="D982" s="3" t="s">
        <v>121</v>
      </c>
      <c r="E982" s="10">
        <f ca="1">TODAY()-351</f>
        <v>43871</v>
      </c>
      <c r="F982" s="4" t="b">
        <v>0</v>
      </c>
      <c r="G982" s="11">
        <v>871000</v>
      </c>
      <c r="H982" s="12" t="s">
        <v>219</v>
      </c>
    </row>
    <row r="983" spans="1:8" x14ac:dyDescent="0.2">
      <c r="A983" s="9">
        <v>982</v>
      </c>
      <c r="B983" s="3" t="s">
        <v>139</v>
      </c>
      <c r="C983" s="3" t="s">
        <v>138</v>
      </c>
      <c r="D983" s="3" t="s">
        <v>135</v>
      </c>
      <c r="E983" s="10">
        <f ca="1">TODAY()-344</f>
        <v>43878</v>
      </c>
      <c r="F983" s="4" t="b">
        <v>0</v>
      </c>
      <c r="G983" s="11">
        <v>427600</v>
      </c>
      <c r="H983" s="12" t="s">
        <v>220</v>
      </c>
    </row>
    <row r="984" spans="1:8" x14ac:dyDescent="0.2">
      <c r="A984" s="9">
        <v>983</v>
      </c>
      <c r="B984" s="3" t="s">
        <v>150</v>
      </c>
      <c r="C984" s="3" t="s">
        <v>175</v>
      </c>
      <c r="D984" s="3" t="s">
        <v>121</v>
      </c>
      <c r="E984" s="10">
        <f ca="1">TODAY()-348</f>
        <v>43874</v>
      </c>
      <c r="F984" s="4" t="b">
        <v>1</v>
      </c>
      <c r="G984" s="11">
        <v>273500</v>
      </c>
      <c r="H984" s="12" t="s">
        <v>220</v>
      </c>
    </row>
    <row r="985" spans="1:8" x14ac:dyDescent="0.2">
      <c r="A985" s="9">
        <v>984</v>
      </c>
      <c r="B985" s="3" t="s">
        <v>133</v>
      </c>
      <c r="C985" s="3" t="s">
        <v>132</v>
      </c>
      <c r="D985" s="3" t="s">
        <v>121</v>
      </c>
      <c r="E985" s="10">
        <f ca="1">TODAY()-341</f>
        <v>43881</v>
      </c>
      <c r="F985" s="4" t="b">
        <v>1</v>
      </c>
      <c r="G985" s="11">
        <v>272500</v>
      </c>
      <c r="H985" s="12" t="s">
        <v>217</v>
      </c>
    </row>
    <row r="986" spans="1:8" x14ac:dyDescent="0.2">
      <c r="A986" s="9">
        <v>985</v>
      </c>
      <c r="B986" s="3" t="s">
        <v>139</v>
      </c>
      <c r="C986" s="3" t="s">
        <v>138</v>
      </c>
      <c r="D986" s="3" t="s">
        <v>135</v>
      </c>
      <c r="E986" s="10">
        <f ca="1">TODAY()-341</f>
        <v>43881</v>
      </c>
      <c r="F986" s="4" t="b">
        <v>1</v>
      </c>
      <c r="G986" s="11">
        <v>273300</v>
      </c>
      <c r="H986" s="12" t="s">
        <v>220</v>
      </c>
    </row>
    <row r="987" spans="1:8" x14ac:dyDescent="0.2">
      <c r="A987" s="9">
        <v>986</v>
      </c>
      <c r="B987" s="3" t="s">
        <v>197</v>
      </c>
      <c r="C987" s="3" t="s">
        <v>202</v>
      </c>
      <c r="D987" s="3" t="s">
        <v>135</v>
      </c>
      <c r="E987" s="10">
        <f ca="1">TODAY()-332</f>
        <v>43890</v>
      </c>
      <c r="F987" s="4" t="b">
        <v>0</v>
      </c>
      <c r="G987" s="11">
        <v>645500</v>
      </c>
      <c r="H987" s="12" t="s">
        <v>217</v>
      </c>
    </row>
    <row r="988" spans="1:8" x14ac:dyDescent="0.2">
      <c r="A988" s="9">
        <v>987</v>
      </c>
      <c r="B988" s="3" t="s">
        <v>150</v>
      </c>
      <c r="C988" s="3" t="s">
        <v>136</v>
      </c>
      <c r="D988" s="3" t="s">
        <v>124</v>
      </c>
      <c r="E988" s="10">
        <f ca="1">TODAY()-332</f>
        <v>43890</v>
      </c>
      <c r="F988" s="4" t="b">
        <v>0</v>
      </c>
      <c r="G988" s="11">
        <v>253600</v>
      </c>
      <c r="H988" s="12" t="s">
        <v>220</v>
      </c>
    </row>
    <row r="989" spans="1:8" x14ac:dyDescent="0.2">
      <c r="A989" s="9">
        <v>988</v>
      </c>
      <c r="B989" s="3" t="s">
        <v>155</v>
      </c>
      <c r="C989" s="3" t="s">
        <v>174</v>
      </c>
      <c r="D989" s="3" t="s">
        <v>131</v>
      </c>
      <c r="E989" s="10">
        <f ca="1">TODAY()-332</f>
        <v>43890</v>
      </c>
      <c r="F989" s="4" t="b">
        <v>0</v>
      </c>
      <c r="G989" s="11">
        <v>282300</v>
      </c>
      <c r="H989" s="12" t="s">
        <v>220</v>
      </c>
    </row>
    <row r="990" spans="1:8" x14ac:dyDescent="0.2">
      <c r="A990" s="9">
        <v>989</v>
      </c>
      <c r="B990" s="3" t="s">
        <v>146</v>
      </c>
      <c r="C990" s="3" t="s">
        <v>198</v>
      </c>
      <c r="D990" s="3" t="s">
        <v>121</v>
      </c>
      <c r="E990" s="10">
        <f ca="1">TODAY()-321</f>
        <v>43901</v>
      </c>
      <c r="F990" s="4" t="b">
        <v>0</v>
      </c>
      <c r="G990" s="11">
        <v>290600</v>
      </c>
      <c r="H990" s="12" t="s">
        <v>219</v>
      </c>
    </row>
    <row r="991" spans="1:8" x14ac:dyDescent="0.2">
      <c r="A991" s="9">
        <v>990</v>
      </c>
      <c r="B991" s="3" t="s">
        <v>197</v>
      </c>
      <c r="C991" s="3" t="s">
        <v>196</v>
      </c>
      <c r="D991" s="3" t="s">
        <v>124</v>
      </c>
      <c r="E991" s="10">
        <f ca="1">TODAY()-318</f>
        <v>43904</v>
      </c>
      <c r="F991" s="4" t="b">
        <v>0</v>
      </c>
      <c r="G991" s="11">
        <v>673500</v>
      </c>
      <c r="H991" s="12" t="s">
        <v>219</v>
      </c>
    </row>
    <row r="992" spans="1:8" x14ac:dyDescent="0.2">
      <c r="A992" s="9">
        <v>991</v>
      </c>
      <c r="B992" s="3" t="s">
        <v>143</v>
      </c>
      <c r="C992" s="3" t="s">
        <v>181</v>
      </c>
      <c r="D992" s="3" t="s">
        <v>121</v>
      </c>
      <c r="E992" s="10">
        <f ca="1">TODAY()-315</f>
        <v>43907</v>
      </c>
      <c r="F992" s="4" t="b">
        <v>0</v>
      </c>
      <c r="G992" s="11">
        <v>298400</v>
      </c>
      <c r="H992" s="12" t="s">
        <v>218</v>
      </c>
    </row>
    <row r="993" spans="1:8" x14ac:dyDescent="0.2">
      <c r="A993" s="9">
        <v>992</v>
      </c>
      <c r="B993" s="3" t="s">
        <v>146</v>
      </c>
      <c r="C993" s="3" t="s">
        <v>182</v>
      </c>
      <c r="D993" s="3" t="s">
        <v>121</v>
      </c>
      <c r="E993" s="10">
        <f ca="1">TODAY()-315</f>
        <v>43907</v>
      </c>
      <c r="F993" s="4" t="b">
        <v>0</v>
      </c>
      <c r="G993" s="11">
        <v>322900</v>
      </c>
      <c r="H993" s="12" t="s">
        <v>218</v>
      </c>
    </row>
    <row r="994" spans="1:8" x14ac:dyDescent="0.2">
      <c r="A994" s="9">
        <v>993</v>
      </c>
      <c r="B994" s="3" t="s">
        <v>150</v>
      </c>
      <c r="C994" s="3" t="s">
        <v>149</v>
      </c>
      <c r="D994" s="3" t="s">
        <v>124</v>
      </c>
      <c r="E994" s="10">
        <f ca="1">TODAY()-316</f>
        <v>43906</v>
      </c>
      <c r="F994" s="4" t="b">
        <v>0</v>
      </c>
      <c r="G994" s="11">
        <v>452300</v>
      </c>
      <c r="H994" s="12" t="s">
        <v>217</v>
      </c>
    </row>
    <row r="995" spans="1:8" x14ac:dyDescent="0.2">
      <c r="A995" s="9">
        <v>994</v>
      </c>
      <c r="B995" s="3" t="s">
        <v>155</v>
      </c>
      <c r="C995" s="3" t="s">
        <v>186</v>
      </c>
      <c r="D995" s="3" t="s">
        <v>135</v>
      </c>
      <c r="E995" s="10">
        <f ca="1">TODAY()-317</f>
        <v>43905</v>
      </c>
      <c r="F995" s="4" t="b">
        <v>0</v>
      </c>
      <c r="G995" s="11">
        <v>253100</v>
      </c>
      <c r="H995" s="12" t="s">
        <v>219</v>
      </c>
    </row>
    <row r="996" spans="1:8" x14ac:dyDescent="0.2">
      <c r="A996" s="9">
        <v>995</v>
      </c>
      <c r="B996" s="3" t="s">
        <v>146</v>
      </c>
      <c r="C996" s="3" t="s">
        <v>182</v>
      </c>
      <c r="D996" s="3" t="s">
        <v>121</v>
      </c>
      <c r="E996" s="10">
        <f ca="1">TODAY()-312</f>
        <v>43910</v>
      </c>
      <c r="F996" s="4" t="b">
        <v>0</v>
      </c>
      <c r="G996" s="11">
        <v>313100</v>
      </c>
      <c r="H996" s="12" t="s">
        <v>218</v>
      </c>
    </row>
    <row r="997" spans="1:8" x14ac:dyDescent="0.2">
      <c r="A997" s="9">
        <v>996</v>
      </c>
      <c r="B997" s="3" t="s">
        <v>146</v>
      </c>
      <c r="C997" s="3" t="s">
        <v>198</v>
      </c>
      <c r="D997" s="3" t="s">
        <v>121</v>
      </c>
      <c r="E997" s="10">
        <f ca="1">TODAY()-306</f>
        <v>43916</v>
      </c>
      <c r="F997" s="4" t="b">
        <v>1</v>
      </c>
      <c r="G997" s="11">
        <v>296400</v>
      </c>
      <c r="H997" s="12" t="s">
        <v>219</v>
      </c>
    </row>
    <row r="998" spans="1:8" x14ac:dyDescent="0.2">
      <c r="A998" s="9">
        <v>997</v>
      </c>
      <c r="B998" s="3" t="s">
        <v>150</v>
      </c>
      <c r="C998" s="3" t="s">
        <v>136</v>
      </c>
      <c r="D998" s="3" t="s">
        <v>124</v>
      </c>
      <c r="E998" s="10">
        <f ca="1">TODAY()-295</f>
        <v>43927</v>
      </c>
      <c r="F998" s="4" t="b">
        <v>0</v>
      </c>
      <c r="G998" s="11">
        <v>276700</v>
      </c>
      <c r="H998" s="12" t="s">
        <v>220</v>
      </c>
    </row>
    <row r="999" spans="1:8" x14ac:dyDescent="0.2">
      <c r="A999" s="9">
        <v>998</v>
      </c>
      <c r="B999" s="3" t="s">
        <v>180</v>
      </c>
      <c r="C999" s="3" t="s">
        <v>179</v>
      </c>
      <c r="D999" s="3" t="s">
        <v>127</v>
      </c>
      <c r="E999" s="10">
        <f ca="1">TODAY()-294</f>
        <v>43928</v>
      </c>
      <c r="F999" s="4" t="b">
        <v>0</v>
      </c>
      <c r="G999" s="11">
        <v>254900</v>
      </c>
      <c r="H999" s="12" t="s">
        <v>220</v>
      </c>
    </row>
    <row r="1000" spans="1:8" x14ac:dyDescent="0.2">
      <c r="A1000" s="9">
        <v>999</v>
      </c>
      <c r="B1000" s="3" t="s">
        <v>155</v>
      </c>
      <c r="C1000" s="3" t="s">
        <v>186</v>
      </c>
      <c r="D1000" s="3" t="s">
        <v>135</v>
      </c>
      <c r="E1000" s="10">
        <f ca="1">TODAY()-290</f>
        <v>43932</v>
      </c>
      <c r="F1000" s="4" t="b">
        <v>0</v>
      </c>
      <c r="G1000" s="11">
        <v>415800</v>
      </c>
      <c r="H1000" s="12" t="s">
        <v>219</v>
      </c>
    </row>
    <row r="1001" spans="1:8" x14ac:dyDescent="0.2">
      <c r="A1001" s="9">
        <v>1000</v>
      </c>
      <c r="B1001" s="3" t="s">
        <v>143</v>
      </c>
      <c r="C1001" s="3" t="s">
        <v>181</v>
      </c>
      <c r="D1001" s="3" t="s">
        <v>121</v>
      </c>
      <c r="E1001" s="10">
        <f ca="1">TODAY()-296</f>
        <v>43926</v>
      </c>
      <c r="F1001" s="4" t="b">
        <v>0</v>
      </c>
      <c r="G1001" s="11">
        <v>414200</v>
      </c>
      <c r="H1001" s="12" t="s">
        <v>218</v>
      </c>
    </row>
    <row r="1002" spans="1:8" x14ac:dyDescent="0.2">
      <c r="A1002" s="9">
        <v>1001</v>
      </c>
      <c r="B1002" s="3" t="s">
        <v>197</v>
      </c>
      <c r="C1002" s="3" t="s">
        <v>202</v>
      </c>
      <c r="D1002" s="3" t="s">
        <v>135</v>
      </c>
      <c r="E1002" s="10">
        <f ca="1">TODAY()-288</f>
        <v>43934</v>
      </c>
      <c r="F1002" s="4" t="b">
        <v>1</v>
      </c>
      <c r="G1002" s="11">
        <v>271800</v>
      </c>
      <c r="H1002" s="12" t="s">
        <v>217</v>
      </c>
    </row>
    <row r="1003" spans="1:8" x14ac:dyDescent="0.2">
      <c r="A1003" s="9">
        <v>1002</v>
      </c>
      <c r="B1003" s="3" t="s">
        <v>143</v>
      </c>
      <c r="C1003" s="3" t="s">
        <v>181</v>
      </c>
      <c r="D1003" s="3" t="s">
        <v>121</v>
      </c>
      <c r="E1003" s="10">
        <f ca="1">TODAY()-281</f>
        <v>43941</v>
      </c>
      <c r="F1003" s="4" t="b">
        <v>0</v>
      </c>
      <c r="G1003" s="11">
        <v>242100</v>
      </c>
      <c r="H1003" s="12" t="s">
        <v>218</v>
      </c>
    </row>
    <row r="1004" spans="1:8" x14ac:dyDescent="0.2">
      <c r="A1004" s="9">
        <v>1003</v>
      </c>
      <c r="B1004" s="3" t="s">
        <v>146</v>
      </c>
      <c r="C1004" s="3" t="s">
        <v>198</v>
      </c>
      <c r="D1004" s="3" t="s">
        <v>121</v>
      </c>
      <c r="E1004" s="10">
        <f ca="1">TODAY()-282</f>
        <v>43940</v>
      </c>
      <c r="F1004" s="4" t="b">
        <v>1</v>
      </c>
      <c r="G1004" s="11">
        <v>266000</v>
      </c>
      <c r="H1004" s="12" t="s">
        <v>219</v>
      </c>
    </row>
    <row r="1005" spans="1:8" x14ac:dyDescent="0.2">
      <c r="A1005" s="9">
        <v>1004</v>
      </c>
      <c r="B1005" s="3" t="s">
        <v>139</v>
      </c>
      <c r="C1005" s="3" t="s">
        <v>138</v>
      </c>
      <c r="D1005" s="3" t="s">
        <v>135</v>
      </c>
      <c r="E1005" s="10">
        <f ca="1">TODAY()-280</f>
        <v>43942</v>
      </c>
      <c r="F1005" s="4" t="b">
        <v>1</v>
      </c>
      <c r="G1005" s="11">
        <v>291800</v>
      </c>
      <c r="H1005" s="12" t="s">
        <v>220</v>
      </c>
    </row>
    <row r="1006" spans="1:8" x14ac:dyDescent="0.2">
      <c r="A1006" s="9">
        <v>1005</v>
      </c>
      <c r="B1006" s="3" t="s">
        <v>133</v>
      </c>
      <c r="C1006" s="3" t="s">
        <v>153</v>
      </c>
      <c r="D1006" s="3" t="s">
        <v>135</v>
      </c>
      <c r="E1006" s="10">
        <f ca="1">TODAY()-274</f>
        <v>43948</v>
      </c>
      <c r="F1006" s="4" t="b">
        <v>0</v>
      </c>
      <c r="G1006" s="11">
        <v>255800</v>
      </c>
      <c r="H1006" s="12" t="s">
        <v>218</v>
      </c>
    </row>
    <row r="1007" spans="1:8" x14ac:dyDescent="0.2">
      <c r="A1007" s="9">
        <v>1006</v>
      </c>
      <c r="B1007" s="3" t="s">
        <v>133</v>
      </c>
      <c r="C1007" s="3" t="s">
        <v>211</v>
      </c>
      <c r="D1007" s="3" t="s">
        <v>124</v>
      </c>
      <c r="E1007" s="10">
        <f ca="1">TODAY()-274</f>
        <v>43948</v>
      </c>
      <c r="F1007" s="4" t="b">
        <v>0</v>
      </c>
      <c r="G1007" s="11">
        <v>288400</v>
      </c>
      <c r="H1007" s="12" t="s">
        <v>219</v>
      </c>
    </row>
    <row r="1008" spans="1:8" x14ac:dyDescent="0.2">
      <c r="A1008" s="9">
        <v>1007</v>
      </c>
      <c r="B1008" s="3" t="s">
        <v>129</v>
      </c>
      <c r="C1008" s="3" t="s">
        <v>130</v>
      </c>
      <c r="D1008" s="3" t="s">
        <v>131</v>
      </c>
      <c r="E1008" s="10">
        <f ca="1">TODAY()-272</f>
        <v>43950</v>
      </c>
      <c r="F1008" s="4" t="b">
        <v>1</v>
      </c>
      <c r="G1008" s="11">
        <v>336200</v>
      </c>
      <c r="H1008" s="12" t="s">
        <v>218</v>
      </c>
    </row>
    <row r="1009" spans="1:8" x14ac:dyDescent="0.2">
      <c r="A1009" s="9">
        <v>1008</v>
      </c>
      <c r="B1009" s="3" t="s">
        <v>146</v>
      </c>
      <c r="C1009" s="3" t="s">
        <v>188</v>
      </c>
      <c r="D1009" s="3" t="s">
        <v>121</v>
      </c>
      <c r="E1009" s="10">
        <f ca="1">TODAY()-269</f>
        <v>43953</v>
      </c>
      <c r="F1009" s="4" t="b">
        <v>0</v>
      </c>
      <c r="G1009" s="11">
        <v>389000</v>
      </c>
      <c r="H1009" s="12" t="s">
        <v>218</v>
      </c>
    </row>
    <row r="1010" spans="1:8" x14ac:dyDescent="0.2">
      <c r="A1010" s="9">
        <v>1009</v>
      </c>
      <c r="B1010" s="3" t="s">
        <v>137</v>
      </c>
      <c r="C1010" s="3" t="s">
        <v>169</v>
      </c>
      <c r="D1010" s="3" t="s">
        <v>135</v>
      </c>
      <c r="E1010" s="10">
        <f ca="1">TODAY()-261</f>
        <v>43961</v>
      </c>
      <c r="F1010" s="4" t="b">
        <v>1</v>
      </c>
      <c r="G1010" s="11">
        <v>237300</v>
      </c>
      <c r="H1010" s="12" t="s">
        <v>218</v>
      </c>
    </row>
    <row r="1011" spans="1:8" x14ac:dyDescent="0.2">
      <c r="A1011" s="9">
        <v>1010</v>
      </c>
      <c r="B1011" s="3" t="s">
        <v>133</v>
      </c>
      <c r="C1011" s="3" t="s">
        <v>211</v>
      </c>
      <c r="D1011" s="3" t="s">
        <v>124</v>
      </c>
      <c r="E1011" s="10">
        <f ca="1">TODAY()-258</f>
        <v>43964</v>
      </c>
      <c r="F1011" s="4" t="b">
        <v>0</v>
      </c>
      <c r="G1011" s="11">
        <v>292400</v>
      </c>
      <c r="H1011" s="12" t="s">
        <v>219</v>
      </c>
    </row>
    <row r="1012" spans="1:8" x14ac:dyDescent="0.2">
      <c r="A1012" s="9">
        <v>1011</v>
      </c>
      <c r="B1012" s="3" t="s">
        <v>180</v>
      </c>
      <c r="C1012" s="3" t="s">
        <v>179</v>
      </c>
      <c r="D1012" s="3" t="s">
        <v>127</v>
      </c>
      <c r="E1012" s="10">
        <f ca="1">TODAY()-262</f>
        <v>43960</v>
      </c>
      <c r="F1012" s="4" t="b">
        <v>1</v>
      </c>
      <c r="G1012" s="11">
        <v>297800</v>
      </c>
      <c r="H1012" s="12" t="s">
        <v>220</v>
      </c>
    </row>
    <row r="1013" spans="1:8" x14ac:dyDescent="0.2">
      <c r="A1013" s="9">
        <v>1012</v>
      </c>
      <c r="B1013" s="3" t="s">
        <v>150</v>
      </c>
      <c r="C1013" s="3" t="s">
        <v>152</v>
      </c>
      <c r="D1013" s="3" t="s">
        <v>135</v>
      </c>
      <c r="E1013" s="10">
        <f ca="1">TODAY()-253</f>
        <v>43969</v>
      </c>
      <c r="F1013" s="4" t="b">
        <v>1</v>
      </c>
      <c r="G1013" s="11">
        <v>286300</v>
      </c>
      <c r="H1013" s="12" t="s">
        <v>219</v>
      </c>
    </row>
    <row r="1014" spans="1:8" x14ac:dyDescent="0.2">
      <c r="A1014" s="9">
        <v>1013</v>
      </c>
      <c r="B1014" s="3" t="s">
        <v>133</v>
      </c>
      <c r="C1014" s="3" t="s">
        <v>208</v>
      </c>
      <c r="D1014" s="3" t="s">
        <v>124</v>
      </c>
      <c r="E1014" s="10">
        <f ca="1">TODAY()-250</f>
        <v>43972</v>
      </c>
      <c r="F1014" s="4" t="b">
        <v>0</v>
      </c>
      <c r="G1014" s="11">
        <v>489700</v>
      </c>
      <c r="H1014" s="12" t="s">
        <v>217</v>
      </c>
    </row>
    <row r="1015" spans="1:8" x14ac:dyDescent="0.2">
      <c r="A1015" s="9">
        <v>1014</v>
      </c>
      <c r="B1015" s="3" t="s">
        <v>137</v>
      </c>
      <c r="C1015" s="3" t="s">
        <v>151</v>
      </c>
      <c r="D1015" s="3" t="s">
        <v>135</v>
      </c>
      <c r="E1015" s="10">
        <f ca="1">TODAY()-248</f>
        <v>43974</v>
      </c>
      <c r="F1015" s="4" t="b">
        <v>0</v>
      </c>
      <c r="G1015" s="11">
        <v>347500</v>
      </c>
      <c r="H1015" s="12" t="s">
        <v>219</v>
      </c>
    </row>
    <row r="1016" spans="1:8" x14ac:dyDescent="0.2">
      <c r="A1016" s="9">
        <v>1015</v>
      </c>
      <c r="B1016" s="3" t="s">
        <v>150</v>
      </c>
      <c r="C1016" s="3" t="s">
        <v>175</v>
      </c>
      <c r="D1016" s="3" t="s">
        <v>121</v>
      </c>
      <c r="E1016" s="10">
        <f ca="1">TODAY()-250</f>
        <v>43972</v>
      </c>
      <c r="F1016" s="4" t="b">
        <v>1</v>
      </c>
      <c r="G1016" s="11">
        <v>253000</v>
      </c>
      <c r="H1016" s="12" t="s">
        <v>220</v>
      </c>
    </row>
    <row r="1017" spans="1:8" x14ac:dyDescent="0.2">
      <c r="A1017" s="9">
        <v>1016</v>
      </c>
      <c r="B1017" s="3" t="s">
        <v>129</v>
      </c>
      <c r="C1017" s="3" t="s">
        <v>128</v>
      </c>
      <c r="D1017" s="3" t="s">
        <v>124</v>
      </c>
      <c r="E1017" s="10">
        <f ca="1">TODAY()-238</f>
        <v>43984</v>
      </c>
      <c r="F1017" s="4" t="b">
        <v>0</v>
      </c>
      <c r="G1017" s="11">
        <v>293500</v>
      </c>
      <c r="H1017" s="12" t="s">
        <v>217</v>
      </c>
    </row>
    <row r="1018" spans="1:8" x14ac:dyDescent="0.2">
      <c r="A1018" s="9">
        <v>1017</v>
      </c>
      <c r="B1018" s="3" t="s">
        <v>139</v>
      </c>
      <c r="C1018" s="3" t="s">
        <v>192</v>
      </c>
      <c r="D1018" s="3" t="s">
        <v>121</v>
      </c>
      <c r="E1018" s="10">
        <f ca="1">TODAY()-236</f>
        <v>43986</v>
      </c>
      <c r="F1018" s="4" t="b">
        <v>1</v>
      </c>
      <c r="G1018" s="11">
        <v>274400</v>
      </c>
      <c r="H1018" s="12" t="s">
        <v>219</v>
      </c>
    </row>
    <row r="1019" spans="1:8" x14ac:dyDescent="0.2">
      <c r="A1019" s="9">
        <v>1018</v>
      </c>
      <c r="B1019" s="3" t="s">
        <v>137</v>
      </c>
      <c r="C1019" s="3" t="s">
        <v>167</v>
      </c>
      <c r="D1019" s="3" t="s">
        <v>135</v>
      </c>
      <c r="E1019" s="10">
        <f ca="1">TODAY()-233</f>
        <v>43989</v>
      </c>
      <c r="F1019" s="4" t="b">
        <v>0</v>
      </c>
      <c r="G1019" s="11">
        <v>276000</v>
      </c>
      <c r="H1019" s="12" t="s">
        <v>218</v>
      </c>
    </row>
    <row r="1020" spans="1:8" x14ac:dyDescent="0.2">
      <c r="A1020" s="9">
        <v>1019</v>
      </c>
      <c r="B1020" s="3" t="s">
        <v>123</v>
      </c>
      <c r="C1020" s="3" t="s">
        <v>189</v>
      </c>
      <c r="D1020" s="3" t="s">
        <v>121</v>
      </c>
      <c r="E1020" s="10">
        <f ca="1">TODAY()-238</f>
        <v>43984</v>
      </c>
      <c r="F1020" s="4" t="b">
        <v>0</v>
      </c>
      <c r="G1020" s="11">
        <v>394700</v>
      </c>
      <c r="H1020" s="12" t="s">
        <v>218</v>
      </c>
    </row>
    <row r="1021" spans="1:8" x14ac:dyDescent="0.2">
      <c r="A1021" s="9">
        <v>1020</v>
      </c>
      <c r="B1021" s="3" t="s">
        <v>146</v>
      </c>
      <c r="C1021" s="3" t="s">
        <v>160</v>
      </c>
      <c r="D1021" s="3" t="s">
        <v>121</v>
      </c>
      <c r="E1021" s="10">
        <f ca="1">TODAY()-237</f>
        <v>43985</v>
      </c>
      <c r="F1021" s="4" t="b">
        <v>0</v>
      </c>
      <c r="G1021" s="11">
        <v>251100</v>
      </c>
      <c r="H1021" s="12" t="s">
        <v>218</v>
      </c>
    </row>
    <row r="1022" spans="1:8" x14ac:dyDescent="0.2">
      <c r="A1022" s="9">
        <v>1021</v>
      </c>
      <c r="B1022" s="3" t="s">
        <v>146</v>
      </c>
      <c r="C1022" s="3" t="s">
        <v>177</v>
      </c>
      <c r="D1022" s="3" t="s">
        <v>124</v>
      </c>
      <c r="E1022" s="10">
        <f ca="1">TODAY()-226</f>
        <v>43996</v>
      </c>
      <c r="F1022" s="4" t="b">
        <v>1</v>
      </c>
      <c r="G1022" s="13">
        <v>626100</v>
      </c>
      <c r="H1022" s="12" t="s">
        <v>217</v>
      </c>
    </row>
    <row r="1023" spans="1:8" x14ac:dyDescent="0.2">
      <c r="A1023" s="9">
        <v>1022</v>
      </c>
      <c r="B1023" s="3" t="s">
        <v>173</v>
      </c>
      <c r="C1023" s="3" t="s">
        <v>185</v>
      </c>
      <c r="D1023" s="3" t="s">
        <v>131</v>
      </c>
      <c r="E1023" s="10">
        <f ca="1">TODAY()-217</f>
        <v>44005</v>
      </c>
      <c r="F1023" s="4" t="b">
        <v>0</v>
      </c>
      <c r="G1023" s="11">
        <v>274500</v>
      </c>
      <c r="H1023" s="12" t="s">
        <v>217</v>
      </c>
    </row>
    <row r="1024" spans="1:8" x14ac:dyDescent="0.2">
      <c r="A1024" s="9">
        <v>1023</v>
      </c>
      <c r="B1024" s="3" t="s">
        <v>133</v>
      </c>
      <c r="C1024" s="3" t="s">
        <v>171</v>
      </c>
      <c r="D1024" s="3" t="s">
        <v>131</v>
      </c>
      <c r="E1024" s="10">
        <f ca="1">TODAY()-216</f>
        <v>44006</v>
      </c>
      <c r="F1024" s="4" t="b">
        <v>1</v>
      </c>
      <c r="G1024" s="11">
        <v>417500</v>
      </c>
      <c r="H1024" s="12" t="s">
        <v>217</v>
      </c>
    </row>
    <row r="1025" spans="1:8" x14ac:dyDescent="0.2">
      <c r="A1025" s="9">
        <v>1024</v>
      </c>
      <c r="B1025" s="3" t="s">
        <v>129</v>
      </c>
      <c r="C1025" s="3" t="s">
        <v>140</v>
      </c>
      <c r="D1025" s="3" t="s">
        <v>135</v>
      </c>
      <c r="E1025" s="10">
        <f ca="1">TODAY()-213</f>
        <v>44009</v>
      </c>
      <c r="F1025" s="4" t="b">
        <v>0</v>
      </c>
      <c r="G1025" s="11">
        <v>467500</v>
      </c>
      <c r="H1025" s="12" t="s">
        <v>218</v>
      </c>
    </row>
    <row r="1026" spans="1:8" x14ac:dyDescent="0.2">
      <c r="A1026" s="9">
        <v>1025</v>
      </c>
      <c r="B1026" s="3" t="s">
        <v>150</v>
      </c>
      <c r="C1026" s="3" t="s">
        <v>152</v>
      </c>
      <c r="D1026" s="3" t="s">
        <v>135</v>
      </c>
      <c r="E1026" s="10">
        <f ca="1">TODAY()-207</f>
        <v>44015</v>
      </c>
      <c r="F1026" s="4" t="b">
        <v>0</v>
      </c>
      <c r="G1026" s="11">
        <v>249800</v>
      </c>
      <c r="H1026" s="12" t="s">
        <v>219</v>
      </c>
    </row>
    <row r="1027" spans="1:8" x14ac:dyDescent="0.2">
      <c r="A1027" s="9">
        <v>1026</v>
      </c>
      <c r="B1027" s="3" t="s">
        <v>139</v>
      </c>
      <c r="C1027" s="3" t="s">
        <v>176</v>
      </c>
      <c r="D1027" s="3" t="s">
        <v>121</v>
      </c>
      <c r="E1027" s="10">
        <f ca="1">TODAY()-208</f>
        <v>44014</v>
      </c>
      <c r="F1027" s="4" t="b">
        <v>0</v>
      </c>
      <c r="G1027" s="11">
        <v>274000</v>
      </c>
      <c r="H1027" s="12" t="s">
        <v>217</v>
      </c>
    </row>
    <row r="1028" spans="1:8" x14ac:dyDescent="0.2">
      <c r="A1028" s="9">
        <v>1027</v>
      </c>
      <c r="B1028" s="3" t="s">
        <v>143</v>
      </c>
      <c r="C1028" s="3" t="s">
        <v>142</v>
      </c>
      <c r="D1028" s="3" t="s">
        <v>121</v>
      </c>
      <c r="E1028" s="10">
        <f ca="1">TODAY()-207</f>
        <v>44015</v>
      </c>
      <c r="F1028" s="4" t="b">
        <v>0</v>
      </c>
      <c r="G1028" s="11">
        <v>415900</v>
      </c>
      <c r="H1028" s="12" t="s">
        <v>220</v>
      </c>
    </row>
    <row r="1029" spans="1:8" x14ac:dyDescent="0.2">
      <c r="A1029" s="9">
        <v>1028</v>
      </c>
      <c r="B1029" s="3" t="s">
        <v>146</v>
      </c>
      <c r="C1029" s="3" t="s">
        <v>201</v>
      </c>
      <c r="D1029" s="3" t="s">
        <v>135</v>
      </c>
      <c r="E1029" s="10">
        <f ca="1">TODAY()-194</f>
        <v>44028</v>
      </c>
      <c r="F1029" s="4" t="b">
        <v>1</v>
      </c>
      <c r="G1029" s="11">
        <v>282000</v>
      </c>
      <c r="H1029" s="12" t="s">
        <v>220</v>
      </c>
    </row>
    <row r="1030" spans="1:8" x14ac:dyDescent="0.2">
      <c r="A1030" s="9">
        <v>1029</v>
      </c>
      <c r="B1030" s="3" t="s">
        <v>191</v>
      </c>
      <c r="C1030" s="3" t="s">
        <v>190</v>
      </c>
      <c r="D1030" s="3" t="s">
        <v>124</v>
      </c>
      <c r="E1030" s="10">
        <f ca="1">TODAY()-197</f>
        <v>44025</v>
      </c>
      <c r="F1030" s="4" t="b">
        <v>0</v>
      </c>
      <c r="G1030" s="11">
        <v>283900</v>
      </c>
      <c r="H1030" s="12" t="s">
        <v>217</v>
      </c>
    </row>
    <row r="1031" spans="1:8" x14ac:dyDescent="0.2">
      <c r="A1031" s="9">
        <v>1030</v>
      </c>
      <c r="B1031" s="3" t="s">
        <v>129</v>
      </c>
      <c r="C1031" s="3" t="s">
        <v>130</v>
      </c>
      <c r="D1031" s="3" t="s">
        <v>131</v>
      </c>
      <c r="E1031" s="10">
        <f ca="1">TODAY()-193</f>
        <v>44029</v>
      </c>
      <c r="F1031" s="4" t="b">
        <v>1</v>
      </c>
      <c r="G1031" s="11">
        <v>820600</v>
      </c>
      <c r="H1031" s="12" t="s">
        <v>218</v>
      </c>
    </row>
    <row r="1032" spans="1:8" x14ac:dyDescent="0.2">
      <c r="A1032" s="9">
        <v>1031</v>
      </c>
      <c r="B1032" s="3" t="s">
        <v>129</v>
      </c>
      <c r="C1032" s="3" t="s">
        <v>159</v>
      </c>
      <c r="D1032" s="3" t="s">
        <v>121</v>
      </c>
      <c r="E1032" s="10">
        <f ca="1">TODAY()-192</f>
        <v>44030</v>
      </c>
      <c r="F1032" s="4" t="b">
        <v>0</v>
      </c>
      <c r="G1032" s="11">
        <v>405600</v>
      </c>
      <c r="H1032" s="12" t="s">
        <v>219</v>
      </c>
    </row>
    <row r="1033" spans="1:8" x14ac:dyDescent="0.2">
      <c r="A1033" s="9">
        <v>1032</v>
      </c>
      <c r="B1033" s="3" t="s">
        <v>129</v>
      </c>
      <c r="C1033" s="3" t="s">
        <v>159</v>
      </c>
      <c r="D1033" s="3" t="s">
        <v>121</v>
      </c>
      <c r="E1033" s="10">
        <f ca="1">TODAY()-190</f>
        <v>44032</v>
      </c>
      <c r="F1033" s="4" t="b">
        <v>1</v>
      </c>
      <c r="G1033" s="11">
        <v>270000</v>
      </c>
      <c r="H1033" s="12" t="s">
        <v>219</v>
      </c>
    </row>
    <row r="1034" spans="1:8" x14ac:dyDescent="0.2">
      <c r="A1034" s="9">
        <v>1033</v>
      </c>
      <c r="B1034" s="3" t="s">
        <v>126</v>
      </c>
      <c r="C1034" s="3" t="s">
        <v>183</v>
      </c>
      <c r="D1034" s="3" t="s">
        <v>127</v>
      </c>
      <c r="E1034" s="10">
        <f ca="1">TODAY()-187</f>
        <v>44035</v>
      </c>
      <c r="F1034" s="4" t="b">
        <v>1</v>
      </c>
      <c r="G1034" s="11">
        <v>293100</v>
      </c>
      <c r="H1034" s="12" t="s">
        <v>218</v>
      </c>
    </row>
    <row r="1035" spans="1:8" x14ac:dyDescent="0.2">
      <c r="A1035" s="9">
        <v>1034</v>
      </c>
      <c r="B1035" s="3" t="s">
        <v>129</v>
      </c>
      <c r="C1035" s="3" t="s">
        <v>130</v>
      </c>
      <c r="D1035" s="3" t="s">
        <v>131</v>
      </c>
      <c r="E1035" s="10">
        <f ca="1">TODAY()-183</f>
        <v>44039</v>
      </c>
      <c r="F1035" s="4" t="b">
        <v>1</v>
      </c>
      <c r="G1035" s="11">
        <v>284400</v>
      </c>
      <c r="H1035" s="12" t="s">
        <v>218</v>
      </c>
    </row>
    <row r="1036" spans="1:8" x14ac:dyDescent="0.2">
      <c r="A1036" s="9">
        <v>1035</v>
      </c>
      <c r="B1036" s="3" t="s">
        <v>148</v>
      </c>
      <c r="C1036" s="3" t="s">
        <v>187</v>
      </c>
      <c r="D1036" s="3" t="s">
        <v>131</v>
      </c>
      <c r="E1036" s="10">
        <f ca="1">TODAY()-176</f>
        <v>44046</v>
      </c>
      <c r="F1036" s="4" t="b">
        <v>0</v>
      </c>
      <c r="G1036" s="11">
        <v>295300</v>
      </c>
      <c r="H1036" s="12" t="s">
        <v>218</v>
      </c>
    </row>
    <row r="1037" spans="1:8" x14ac:dyDescent="0.2">
      <c r="A1037" s="9">
        <v>1036</v>
      </c>
      <c r="B1037" s="3" t="s">
        <v>123</v>
      </c>
      <c r="C1037" s="3" t="s">
        <v>189</v>
      </c>
      <c r="D1037" s="3" t="s">
        <v>121</v>
      </c>
      <c r="E1037" s="10">
        <f ca="1">TODAY()-175</f>
        <v>44047</v>
      </c>
      <c r="F1037" s="4" t="b">
        <v>0</v>
      </c>
      <c r="G1037" s="11">
        <v>260600</v>
      </c>
      <c r="H1037" s="12" t="s">
        <v>218</v>
      </c>
    </row>
    <row r="1038" spans="1:8" x14ac:dyDescent="0.2">
      <c r="A1038" s="9">
        <v>1037</v>
      </c>
      <c r="B1038" s="3" t="s">
        <v>120</v>
      </c>
      <c r="C1038" s="3" t="s">
        <v>205</v>
      </c>
      <c r="D1038" s="3" t="s">
        <v>131</v>
      </c>
      <c r="E1038" s="10">
        <f ca="1">TODAY()-166</f>
        <v>44056</v>
      </c>
      <c r="F1038" s="4" t="b">
        <v>1</v>
      </c>
      <c r="G1038" s="11">
        <v>264900</v>
      </c>
      <c r="H1038" s="12" t="s">
        <v>219</v>
      </c>
    </row>
    <row r="1039" spans="1:8" x14ac:dyDescent="0.2">
      <c r="A1039" s="9">
        <v>1038</v>
      </c>
      <c r="B1039" s="3" t="s">
        <v>155</v>
      </c>
      <c r="C1039" s="3" t="s">
        <v>186</v>
      </c>
      <c r="D1039" s="3" t="s">
        <v>135</v>
      </c>
      <c r="E1039" s="10">
        <f ca="1">TODAY()-171</f>
        <v>44051</v>
      </c>
      <c r="F1039" s="4" t="b">
        <v>0</v>
      </c>
      <c r="G1039" s="11">
        <v>299300</v>
      </c>
      <c r="H1039" s="12" t="s">
        <v>219</v>
      </c>
    </row>
    <row r="1040" spans="1:8" x14ac:dyDescent="0.2">
      <c r="A1040" s="9">
        <v>1039</v>
      </c>
      <c r="B1040" s="3" t="s">
        <v>197</v>
      </c>
      <c r="C1040" s="3" t="s">
        <v>196</v>
      </c>
      <c r="D1040" s="3" t="s">
        <v>124</v>
      </c>
      <c r="E1040" s="10">
        <f ca="1">TODAY()-168</f>
        <v>44054</v>
      </c>
      <c r="F1040" s="4" t="b">
        <v>1</v>
      </c>
      <c r="G1040" s="11">
        <v>244500</v>
      </c>
      <c r="H1040" s="12" t="s">
        <v>219</v>
      </c>
    </row>
    <row r="1041" spans="1:8" x14ac:dyDescent="0.2">
      <c r="A1041" s="9">
        <v>1040</v>
      </c>
      <c r="B1041" s="3" t="s">
        <v>146</v>
      </c>
      <c r="C1041" s="3" t="s">
        <v>198</v>
      </c>
      <c r="D1041" s="3" t="s">
        <v>121</v>
      </c>
      <c r="E1041" s="10">
        <f ca="1">TODAY()-155</f>
        <v>44067</v>
      </c>
      <c r="F1041" s="4" t="b">
        <v>0</v>
      </c>
      <c r="G1041" s="11">
        <v>749600</v>
      </c>
      <c r="H1041" s="12" t="s">
        <v>219</v>
      </c>
    </row>
    <row r="1042" spans="1:8" x14ac:dyDescent="0.2">
      <c r="A1042" s="9">
        <v>1041</v>
      </c>
      <c r="B1042" s="3" t="s">
        <v>129</v>
      </c>
      <c r="C1042" s="3" t="s">
        <v>130</v>
      </c>
      <c r="D1042" s="3" t="s">
        <v>131</v>
      </c>
      <c r="E1042" s="10">
        <f ca="1">TODAY()-155</f>
        <v>44067</v>
      </c>
      <c r="F1042" s="4" t="b">
        <v>0</v>
      </c>
      <c r="G1042" s="11">
        <v>253100</v>
      </c>
      <c r="H1042" s="12" t="s">
        <v>218</v>
      </c>
    </row>
    <row r="1043" spans="1:8" x14ac:dyDescent="0.2">
      <c r="A1043" s="9">
        <v>1042</v>
      </c>
      <c r="B1043" s="3" t="s">
        <v>146</v>
      </c>
      <c r="C1043" s="3" t="s">
        <v>198</v>
      </c>
      <c r="D1043" s="3" t="s">
        <v>121</v>
      </c>
      <c r="E1043" s="10">
        <f ca="1">TODAY()-155</f>
        <v>44067</v>
      </c>
      <c r="F1043" s="4" t="b">
        <v>0</v>
      </c>
      <c r="G1043" s="13">
        <v>654000</v>
      </c>
      <c r="H1043" s="12" t="s">
        <v>219</v>
      </c>
    </row>
    <row r="1044" spans="1:8" x14ac:dyDescent="0.2">
      <c r="A1044" s="9">
        <v>1043</v>
      </c>
      <c r="B1044" s="3" t="s">
        <v>139</v>
      </c>
      <c r="C1044" s="3" t="s">
        <v>145</v>
      </c>
      <c r="D1044" s="3" t="s">
        <v>124</v>
      </c>
      <c r="E1044" s="10">
        <f ca="1">TODAY()-154</f>
        <v>44068</v>
      </c>
      <c r="F1044" s="4" t="b">
        <v>1</v>
      </c>
      <c r="G1044" s="11">
        <v>426600</v>
      </c>
      <c r="H1044" s="12" t="s">
        <v>217</v>
      </c>
    </row>
    <row r="1045" spans="1:8" x14ac:dyDescent="0.2">
      <c r="A1045" s="9">
        <v>1044</v>
      </c>
      <c r="B1045" s="3" t="s">
        <v>123</v>
      </c>
      <c r="C1045" s="3" t="s">
        <v>122</v>
      </c>
      <c r="D1045" s="3" t="s">
        <v>124</v>
      </c>
      <c r="E1045" s="10">
        <f ca="1">TODAY()-148</f>
        <v>44074</v>
      </c>
      <c r="F1045" s="4" t="b">
        <v>0</v>
      </c>
      <c r="G1045" s="11">
        <v>495200</v>
      </c>
      <c r="H1045" s="12" t="s">
        <v>218</v>
      </c>
    </row>
    <row r="1046" spans="1:8" x14ac:dyDescent="0.2">
      <c r="A1046" s="9">
        <v>1045</v>
      </c>
      <c r="B1046" s="3" t="s">
        <v>120</v>
      </c>
      <c r="C1046" s="3" t="s">
        <v>195</v>
      </c>
      <c r="D1046" s="3" t="s">
        <v>121</v>
      </c>
      <c r="E1046" s="10">
        <f ca="1">TODAY()-148</f>
        <v>44074</v>
      </c>
      <c r="F1046" s="4" t="b">
        <v>0</v>
      </c>
      <c r="G1046" s="11">
        <v>668600</v>
      </c>
      <c r="H1046" s="12" t="s">
        <v>219</v>
      </c>
    </row>
    <row r="1047" spans="1:8" x14ac:dyDescent="0.2">
      <c r="A1047" s="9">
        <v>1046</v>
      </c>
      <c r="B1047" s="3" t="s">
        <v>163</v>
      </c>
      <c r="C1047" s="3" t="s">
        <v>162</v>
      </c>
      <c r="D1047" s="3" t="s">
        <v>127</v>
      </c>
      <c r="E1047" s="10">
        <f ca="1">TODAY()-139</f>
        <v>44083</v>
      </c>
      <c r="F1047" s="4" t="b">
        <v>1</v>
      </c>
      <c r="G1047" s="11">
        <v>295200</v>
      </c>
      <c r="H1047" s="12" t="s">
        <v>217</v>
      </c>
    </row>
    <row r="1048" spans="1:8" x14ac:dyDescent="0.2">
      <c r="A1048" s="9">
        <v>1047</v>
      </c>
      <c r="B1048" s="3" t="s">
        <v>137</v>
      </c>
      <c r="C1048" s="3" t="s">
        <v>169</v>
      </c>
      <c r="D1048" s="3" t="s">
        <v>135</v>
      </c>
      <c r="E1048" s="10">
        <f ca="1">TODAY()-140</f>
        <v>44082</v>
      </c>
      <c r="F1048" s="4" t="b">
        <v>1</v>
      </c>
      <c r="G1048" s="11">
        <v>469100</v>
      </c>
      <c r="H1048" s="12" t="s">
        <v>218</v>
      </c>
    </row>
    <row r="1049" spans="1:8" x14ac:dyDescent="0.2">
      <c r="A1049" s="9">
        <v>1048</v>
      </c>
      <c r="B1049" s="3" t="s">
        <v>148</v>
      </c>
      <c r="C1049" s="3" t="s">
        <v>210</v>
      </c>
      <c r="D1049" s="3" t="s">
        <v>131</v>
      </c>
      <c r="E1049" s="10">
        <f ca="1">TODAY()-131</f>
        <v>44091</v>
      </c>
      <c r="F1049" s="4" t="b">
        <v>0</v>
      </c>
      <c r="G1049" s="11">
        <v>416500</v>
      </c>
      <c r="H1049" s="12" t="s">
        <v>219</v>
      </c>
    </row>
    <row r="1050" spans="1:8" x14ac:dyDescent="0.2">
      <c r="A1050" s="9">
        <v>1049</v>
      </c>
      <c r="B1050" s="3" t="s">
        <v>180</v>
      </c>
      <c r="C1050" s="3" t="s">
        <v>179</v>
      </c>
      <c r="D1050" s="3" t="s">
        <v>127</v>
      </c>
      <c r="E1050" s="10">
        <f ca="1">TODAY()-138</f>
        <v>44084</v>
      </c>
      <c r="F1050" s="4" t="b">
        <v>0</v>
      </c>
      <c r="G1050" s="11">
        <v>298300</v>
      </c>
      <c r="H1050" s="12" t="s">
        <v>220</v>
      </c>
    </row>
    <row r="1051" spans="1:8" x14ac:dyDescent="0.2">
      <c r="A1051" s="9">
        <v>1050</v>
      </c>
      <c r="B1051" s="3" t="s">
        <v>133</v>
      </c>
      <c r="C1051" s="3" t="s">
        <v>208</v>
      </c>
      <c r="D1051" s="3" t="s">
        <v>124</v>
      </c>
      <c r="E1051" s="10">
        <f ca="1">TODAY()-126</f>
        <v>44096</v>
      </c>
      <c r="F1051" s="4" t="b">
        <v>0</v>
      </c>
      <c r="G1051" s="11">
        <v>426700</v>
      </c>
      <c r="H1051" s="12" t="s">
        <v>217</v>
      </c>
    </row>
    <row r="1052" spans="1:8" x14ac:dyDescent="0.2">
      <c r="A1052" s="9">
        <v>1051</v>
      </c>
      <c r="B1052" s="3" t="s">
        <v>155</v>
      </c>
      <c r="C1052" s="3" t="s">
        <v>154</v>
      </c>
      <c r="D1052" s="3" t="s">
        <v>124</v>
      </c>
      <c r="E1052" s="10">
        <f ca="1">TODAY()-114</f>
        <v>44108</v>
      </c>
      <c r="F1052" s="4" t="b">
        <v>0</v>
      </c>
      <c r="G1052" s="11">
        <v>908200</v>
      </c>
      <c r="H1052" s="12" t="s">
        <v>220</v>
      </c>
    </row>
    <row r="1053" spans="1:8" x14ac:dyDescent="0.2">
      <c r="A1053" s="9">
        <v>1052</v>
      </c>
      <c r="B1053" s="3" t="s">
        <v>148</v>
      </c>
      <c r="C1053" s="3" t="s">
        <v>187</v>
      </c>
      <c r="D1053" s="3" t="s">
        <v>131</v>
      </c>
      <c r="E1053" s="10">
        <f ca="1">TODAY()-107</f>
        <v>44115</v>
      </c>
      <c r="F1053" s="4" t="b">
        <v>0</v>
      </c>
      <c r="G1053" s="11">
        <v>284700</v>
      </c>
      <c r="H1053" s="12" t="s">
        <v>218</v>
      </c>
    </row>
    <row r="1054" spans="1:8" x14ac:dyDescent="0.2">
      <c r="A1054" s="9">
        <v>1053</v>
      </c>
      <c r="B1054" s="3" t="s">
        <v>123</v>
      </c>
      <c r="C1054" s="3" t="s">
        <v>189</v>
      </c>
      <c r="D1054" s="3" t="s">
        <v>121</v>
      </c>
      <c r="E1054" s="10">
        <f ca="1">TODAY()-109</f>
        <v>44113</v>
      </c>
      <c r="F1054" s="4" t="b">
        <v>0</v>
      </c>
      <c r="G1054" s="11">
        <v>240800</v>
      </c>
      <c r="H1054" s="12" t="s">
        <v>218</v>
      </c>
    </row>
    <row r="1055" spans="1:8" x14ac:dyDescent="0.2">
      <c r="A1055" s="9">
        <v>1054</v>
      </c>
      <c r="B1055" s="3" t="s">
        <v>126</v>
      </c>
      <c r="C1055" s="3" t="s">
        <v>183</v>
      </c>
      <c r="D1055" s="3" t="s">
        <v>127</v>
      </c>
      <c r="E1055" s="10">
        <f ca="1">TODAY()-88</f>
        <v>44134</v>
      </c>
      <c r="F1055" s="4" t="b">
        <v>0</v>
      </c>
      <c r="G1055" s="11">
        <v>251400</v>
      </c>
      <c r="H1055" s="12" t="s">
        <v>218</v>
      </c>
    </row>
    <row r="1056" spans="1:8" x14ac:dyDescent="0.2">
      <c r="A1056" s="9">
        <v>1055</v>
      </c>
      <c r="B1056" s="3" t="s">
        <v>155</v>
      </c>
      <c r="C1056" s="3" t="s">
        <v>174</v>
      </c>
      <c r="D1056" s="3" t="s">
        <v>131</v>
      </c>
      <c r="E1056" s="10">
        <f ca="1">TODAY()-87</f>
        <v>44135</v>
      </c>
      <c r="F1056" s="4" t="b">
        <v>1</v>
      </c>
      <c r="G1056" s="11">
        <v>257100</v>
      </c>
      <c r="H1056" s="12" t="s">
        <v>220</v>
      </c>
    </row>
    <row r="1057" spans="1:8" x14ac:dyDescent="0.2">
      <c r="A1057" s="9">
        <v>1056</v>
      </c>
      <c r="B1057" s="3" t="s">
        <v>143</v>
      </c>
      <c r="C1057" s="3" t="s">
        <v>166</v>
      </c>
      <c r="D1057" s="3" t="s">
        <v>121</v>
      </c>
      <c r="E1057" s="10">
        <f ca="1">TODAY()-78</f>
        <v>44144</v>
      </c>
      <c r="F1057" s="4" t="b">
        <v>1</v>
      </c>
      <c r="G1057" s="11">
        <v>604600</v>
      </c>
      <c r="H1057" s="12" t="s">
        <v>220</v>
      </c>
    </row>
    <row r="1058" spans="1:8" x14ac:dyDescent="0.2">
      <c r="A1058" s="9">
        <v>1057</v>
      </c>
      <c r="B1058" s="3" t="s">
        <v>155</v>
      </c>
      <c r="C1058" s="3" t="s">
        <v>186</v>
      </c>
      <c r="D1058" s="3" t="s">
        <v>135</v>
      </c>
      <c r="E1058" s="10">
        <f ca="1">TODAY()-75</f>
        <v>44147</v>
      </c>
      <c r="F1058" s="4" t="b">
        <v>0</v>
      </c>
      <c r="G1058" s="11">
        <v>322500</v>
      </c>
      <c r="H1058" s="12" t="s">
        <v>219</v>
      </c>
    </row>
    <row r="1059" spans="1:8" x14ac:dyDescent="0.2">
      <c r="A1059" s="9">
        <v>1058</v>
      </c>
      <c r="B1059" s="3" t="s">
        <v>120</v>
      </c>
      <c r="C1059" s="3" t="s">
        <v>119</v>
      </c>
      <c r="D1059" s="3" t="s">
        <v>121</v>
      </c>
      <c r="E1059" s="10">
        <f ca="1">TODAY()-77</f>
        <v>44145</v>
      </c>
      <c r="F1059" s="4" t="b">
        <v>0</v>
      </c>
      <c r="G1059" s="11">
        <v>480900</v>
      </c>
      <c r="H1059" s="12" t="s">
        <v>217</v>
      </c>
    </row>
    <row r="1060" spans="1:8" x14ac:dyDescent="0.2">
      <c r="A1060" s="9">
        <v>1059</v>
      </c>
      <c r="B1060" s="3" t="s">
        <v>173</v>
      </c>
      <c r="C1060" s="3" t="s">
        <v>200</v>
      </c>
      <c r="D1060" s="3" t="s">
        <v>135</v>
      </c>
      <c r="E1060" s="10">
        <f ca="1">TODAY()-77</f>
        <v>44145</v>
      </c>
      <c r="F1060" s="4" t="b">
        <v>0</v>
      </c>
      <c r="G1060" s="11">
        <v>430100</v>
      </c>
      <c r="H1060" s="12" t="s">
        <v>219</v>
      </c>
    </row>
    <row r="1061" spans="1:8" x14ac:dyDescent="0.2">
      <c r="A1061" s="9">
        <v>1060</v>
      </c>
      <c r="B1061" s="3" t="s">
        <v>163</v>
      </c>
      <c r="C1061" s="3" t="s">
        <v>162</v>
      </c>
      <c r="D1061" s="3" t="s">
        <v>127</v>
      </c>
      <c r="E1061" s="10">
        <f ca="1">TODAY()-70</f>
        <v>44152</v>
      </c>
      <c r="F1061" s="4" t="b">
        <v>1</v>
      </c>
      <c r="G1061" s="11">
        <v>236100</v>
      </c>
      <c r="H1061" s="12" t="s">
        <v>217</v>
      </c>
    </row>
    <row r="1062" spans="1:8" x14ac:dyDescent="0.2">
      <c r="A1062" s="9">
        <v>1061</v>
      </c>
      <c r="B1062" s="3" t="s">
        <v>148</v>
      </c>
      <c r="C1062" s="3" t="s">
        <v>147</v>
      </c>
      <c r="D1062" s="3" t="s">
        <v>121</v>
      </c>
      <c r="E1062" s="10">
        <f ca="1">TODAY()-67</f>
        <v>44155</v>
      </c>
      <c r="F1062" s="4" t="b">
        <v>1</v>
      </c>
      <c r="G1062" s="11">
        <v>926500</v>
      </c>
      <c r="H1062" s="12" t="s">
        <v>218</v>
      </c>
    </row>
    <row r="1063" spans="1:8" x14ac:dyDescent="0.2">
      <c r="A1063" s="9">
        <v>1062</v>
      </c>
      <c r="B1063" s="3" t="s">
        <v>163</v>
      </c>
      <c r="C1063" s="3" t="s">
        <v>162</v>
      </c>
      <c r="D1063" s="3" t="s">
        <v>127</v>
      </c>
      <c r="E1063" s="10">
        <f ca="1">TODAY()-67</f>
        <v>44155</v>
      </c>
      <c r="F1063" s="4" t="b">
        <v>0</v>
      </c>
      <c r="G1063" s="11">
        <v>258300</v>
      </c>
      <c r="H1063" s="12" t="s">
        <v>217</v>
      </c>
    </row>
    <row r="1064" spans="1:8" x14ac:dyDescent="0.2">
      <c r="A1064" s="9">
        <v>1063</v>
      </c>
      <c r="B1064" s="3" t="s">
        <v>180</v>
      </c>
      <c r="C1064" s="3" t="s">
        <v>207</v>
      </c>
      <c r="D1064" s="3" t="s">
        <v>127</v>
      </c>
      <c r="E1064" s="10">
        <f ca="1">TODAY()-60</f>
        <v>44162</v>
      </c>
      <c r="F1064" s="4" t="b">
        <v>0</v>
      </c>
      <c r="G1064" s="11">
        <v>260200</v>
      </c>
      <c r="H1064" s="12" t="s">
        <v>220</v>
      </c>
    </row>
    <row r="1065" spans="1:8" x14ac:dyDescent="0.2">
      <c r="A1065" s="9">
        <v>1064</v>
      </c>
      <c r="B1065" s="3" t="s">
        <v>143</v>
      </c>
      <c r="C1065" s="3" t="s">
        <v>166</v>
      </c>
      <c r="D1065" s="3" t="s">
        <v>121</v>
      </c>
      <c r="E1065" s="10">
        <f ca="1">TODAY()-58</f>
        <v>44164</v>
      </c>
      <c r="F1065" s="4" t="b">
        <v>1</v>
      </c>
      <c r="G1065" s="11">
        <v>280300</v>
      </c>
      <c r="H1065" s="12" t="s">
        <v>220</v>
      </c>
    </row>
    <row r="1066" spans="1:8" x14ac:dyDescent="0.2">
      <c r="A1066" s="9">
        <v>1065</v>
      </c>
      <c r="B1066" s="3" t="s">
        <v>155</v>
      </c>
      <c r="C1066" s="3" t="s">
        <v>164</v>
      </c>
      <c r="D1066" s="3" t="s">
        <v>124</v>
      </c>
      <c r="E1066" s="10">
        <f ca="1">TODAY()-62</f>
        <v>44160</v>
      </c>
      <c r="F1066" s="4" t="b">
        <v>0</v>
      </c>
      <c r="G1066" s="11">
        <v>290800</v>
      </c>
      <c r="H1066" s="12" t="s">
        <v>220</v>
      </c>
    </row>
    <row r="1067" spans="1:8" x14ac:dyDescent="0.2">
      <c r="A1067" s="9">
        <v>1066</v>
      </c>
      <c r="B1067" s="3" t="s">
        <v>150</v>
      </c>
      <c r="C1067" s="3" t="s">
        <v>136</v>
      </c>
      <c r="D1067" s="3" t="s">
        <v>124</v>
      </c>
      <c r="E1067" s="10">
        <f ca="1">TODAY()-45</f>
        <v>44177</v>
      </c>
      <c r="F1067" s="4" t="b">
        <v>0</v>
      </c>
      <c r="G1067" s="11">
        <v>289300</v>
      </c>
      <c r="H1067" s="12" t="s">
        <v>220</v>
      </c>
    </row>
    <row r="1068" spans="1:8" x14ac:dyDescent="0.2">
      <c r="A1068" s="9">
        <v>1067</v>
      </c>
      <c r="B1068" s="3" t="s">
        <v>155</v>
      </c>
      <c r="C1068" s="3" t="s">
        <v>174</v>
      </c>
      <c r="D1068" s="3" t="s">
        <v>131</v>
      </c>
      <c r="E1068" s="10">
        <f ca="1">TODAY()-42</f>
        <v>44180</v>
      </c>
      <c r="F1068" s="4" t="b">
        <v>1</v>
      </c>
      <c r="G1068" s="11">
        <v>290400</v>
      </c>
      <c r="H1068" s="12" t="s">
        <v>220</v>
      </c>
    </row>
    <row r="1069" spans="1:8" x14ac:dyDescent="0.2">
      <c r="A1069" s="9">
        <v>1068</v>
      </c>
      <c r="B1069" s="3" t="s">
        <v>158</v>
      </c>
      <c r="C1069" s="3" t="s">
        <v>184</v>
      </c>
      <c r="D1069" s="3" t="s">
        <v>127</v>
      </c>
      <c r="E1069" s="10">
        <f ca="1">TODAY()-35</f>
        <v>44187</v>
      </c>
      <c r="F1069" s="4" t="b">
        <v>1</v>
      </c>
      <c r="G1069" s="11">
        <v>421500</v>
      </c>
      <c r="H1069" s="12" t="s">
        <v>220</v>
      </c>
    </row>
    <row r="1070" spans="1:8" x14ac:dyDescent="0.2">
      <c r="A1070" s="9">
        <v>1069</v>
      </c>
      <c r="B1070" s="3" t="s">
        <v>150</v>
      </c>
      <c r="C1070" s="3" t="s">
        <v>178</v>
      </c>
      <c r="D1070" s="3" t="s">
        <v>121</v>
      </c>
      <c r="E1070" s="10">
        <f ca="1">TODAY()-32</f>
        <v>44190</v>
      </c>
      <c r="F1070" s="4" t="b">
        <v>0</v>
      </c>
      <c r="G1070" s="11">
        <v>290600</v>
      </c>
      <c r="H1070" s="12" t="s">
        <v>219</v>
      </c>
    </row>
    <row r="1071" spans="1:8" x14ac:dyDescent="0.2">
      <c r="A1071" s="9">
        <v>1070</v>
      </c>
      <c r="B1071" s="3" t="s">
        <v>197</v>
      </c>
      <c r="C1071" s="3" t="s">
        <v>202</v>
      </c>
      <c r="D1071" s="3" t="s">
        <v>135</v>
      </c>
      <c r="E1071" s="10">
        <f ca="1">TODAY()-33</f>
        <v>44189</v>
      </c>
      <c r="F1071" s="4" t="b">
        <v>1</v>
      </c>
      <c r="G1071" s="11">
        <v>408500</v>
      </c>
      <c r="H1071" s="12" t="s">
        <v>217</v>
      </c>
    </row>
    <row r="1072" spans="1:8" x14ac:dyDescent="0.2">
      <c r="A1072" s="9">
        <v>1071</v>
      </c>
      <c r="B1072" s="3" t="s">
        <v>137</v>
      </c>
      <c r="C1072" s="3" t="s">
        <v>151</v>
      </c>
      <c r="D1072" s="3" t="s">
        <v>135</v>
      </c>
      <c r="E1072" s="10">
        <f ca="1">TODAY()-30</f>
        <v>44192</v>
      </c>
      <c r="F1072" s="4" t="b">
        <v>0</v>
      </c>
      <c r="G1072" s="11">
        <v>286300</v>
      </c>
      <c r="H1072" s="12" t="s">
        <v>219</v>
      </c>
    </row>
    <row r="1073" spans="1:8" x14ac:dyDescent="0.2">
      <c r="A1073" s="9">
        <v>1072</v>
      </c>
      <c r="B1073" s="3" t="s">
        <v>191</v>
      </c>
      <c r="C1073" s="3" t="s">
        <v>190</v>
      </c>
      <c r="D1073" s="3" t="s">
        <v>124</v>
      </c>
      <c r="E1073" s="10">
        <f ca="1">TODAY()-27</f>
        <v>44195</v>
      </c>
      <c r="F1073" s="4" t="b">
        <v>0</v>
      </c>
      <c r="G1073" s="11">
        <v>298000</v>
      </c>
      <c r="H1073" s="12" t="s">
        <v>217</v>
      </c>
    </row>
    <row r="1074" spans="1:8" x14ac:dyDescent="0.2">
      <c r="A1074" s="9">
        <v>1073</v>
      </c>
      <c r="B1074" s="3" t="s">
        <v>148</v>
      </c>
      <c r="C1074" s="3" t="s">
        <v>187</v>
      </c>
      <c r="D1074" s="3" t="s">
        <v>131</v>
      </c>
      <c r="E1074" s="10">
        <f ca="1">TODAY()-30</f>
        <v>44192</v>
      </c>
      <c r="F1074" s="4" t="b">
        <v>0</v>
      </c>
      <c r="G1074" s="11">
        <v>263500</v>
      </c>
      <c r="H1074" s="12" t="s">
        <v>218</v>
      </c>
    </row>
    <row r="1075" spans="1:8" x14ac:dyDescent="0.2">
      <c r="A1075" s="9">
        <v>1074</v>
      </c>
      <c r="B1075" s="3" t="s">
        <v>146</v>
      </c>
      <c r="C1075" s="3" t="s">
        <v>201</v>
      </c>
      <c r="D1075" s="3" t="s">
        <v>135</v>
      </c>
      <c r="E1075" s="10">
        <f ca="1">TODAY()-22</f>
        <v>44200</v>
      </c>
      <c r="F1075" s="4" t="b">
        <v>0</v>
      </c>
      <c r="G1075" s="11">
        <v>360800</v>
      </c>
      <c r="H1075" s="12" t="s">
        <v>220</v>
      </c>
    </row>
    <row r="1076" spans="1:8" x14ac:dyDescent="0.2">
      <c r="A1076" s="9">
        <v>1075</v>
      </c>
      <c r="B1076" s="3" t="s">
        <v>129</v>
      </c>
      <c r="C1076" s="3" t="s">
        <v>140</v>
      </c>
      <c r="D1076" s="3" t="s">
        <v>135</v>
      </c>
      <c r="E1076" s="10">
        <f ca="1">TODAY()-19</f>
        <v>44203</v>
      </c>
      <c r="F1076" s="4" t="b">
        <v>0</v>
      </c>
      <c r="G1076" s="11">
        <v>619600</v>
      </c>
      <c r="H1076" s="12" t="s">
        <v>218</v>
      </c>
    </row>
    <row r="1077" spans="1:8" x14ac:dyDescent="0.2">
      <c r="A1077" s="9">
        <v>1076</v>
      </c>
      <c r="B1077" s="3" t="s">
        <v>126</v>
      </c>
      <c r="C1077" s="3" t="s">
        <v>183</v>
      </c>
      <c r="D1077" s="3" t="s">
        <v>127</v>
      </c>
      <c r="E1077" s="10">
        <f ca="1">TODAY()-13</f>
        <v>44209</v>
      </c>
      <c r="F1077" s="4" t="b">
        <v>0</v>
      </c>
      <c r="G1077" s="11">
        <v>291100</v>
      </c>
      <c r="H1077" s="12" t="s">
        <v>218</v>
      </c>
    </row>
    <row r="1078" spans="1:8" x14ac:dyDescent="0.2">
      <c r="A1078" s="9">
        <v>1077</v>
      </c>
      <c r="B1078" s="3" t="s">
        <v>139</v>
      </c>
      <c r="C1078" s="3" t="s">
        <v>145</v>
      </c>
      <c r="D1078" s="3" t="s">
        <v>124</v>
      </c>
      <c r="E1078" s="10">
        <f ca="1">TODAY()-12</f>
        <v>44210</v>
      </c>
      <c r="F1078" s="4" t="b">
        <v>0</v>
      </c>
      <c r="G1078" s="11">
        <v>282200</v>
      </c>
      <c r="H1078" s="12" t="s">
        <v>217</v>
      </c>
    </row>
    <row r="1079" spans="1:8" x14ac:dyDescent="0.2">
      <c r="A1079" s="9">
        <v>1078</v>
      </c>
      <c r="B1079" s="3" t="s">
        <v>155</v>
      </c>
      <c r="C1079" s="3" t="s">
        <v>164</v>
      </c>
      <c r="D1079" s="3" t="s">
        <v>124</v>
      </c>
      <c r="E1079" s="10">
        <f ca="1">TODAY()-20</f>
        <v>44202</v>
      </c>
      <c r="F1079" s="4" t="b">
        <v>1</v>
      </c>
      <c r="G1079" s="14">
        <v>1000000</v>
      </c>
      <c r="H1079" s="12" t="s">
        <v>220</v>
      </c>
    </row>
  </sheetData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3"/>
  <sheetViews>
    <sheetView workbookViewId="0">
      <selection activeCell="J7" sqref="J7"/>
    </sheetView>
  </sheetViews>
  <sheetFormatPr defaultRowHeight="12" x14ac:dyDescent="0.2"/>
  <cols>
    <col min="2" max="2" width="20.83203125" customWidth="1"/>
    <col min="3" max="7" width="12.83203125" customWidth="1"/>
  </cols>
  <sheetData>
    <row r="2" spans="2:7" x14ac:dyDescent="0.2">
      <c r="B2" s="39" t="s">
        <v>664</v>
      </c>
    </row>
    <row r="3" spans="2:7" x14ac:dyDescent="0.2">
      <c r="B3" s="39" t="s">
        <v>665</v>
      </c>
    </row>
    <row r="4" spans="2:7" x14ac:dyDescent="0.2">
      <c r="B4" t="s">
        <v>667</v>
      </c>
    </row>
    <row r="5" spans="2:7" x14ac:dyDescent="0.2">
      <c r="B5" s="39" t="s">
        <v>666</v>
      </c>
    </row>
    <row r="11" spans="2:7" x14ac:dyDescent="0.2">
      <c r="B11" s="22" t="s">
        <v>214</v>
      </c>
      <c r="C11" s="23" t="s">
        <v>221</v>
      </c>
    </row>
    <row r="12" spans="2:7" x14ac:dyDescent="0.2">
      <c r="B12" s="22" t="s">
        <v>216</v>
      </c>
      <c r="C12" s="23" t="s">
        <v>221</v>
      </c>
    </row>
    <row r="14" spans="2:7" x14ac:dyDescent="0.2">
      <c r="B14" s="16" t="s">
        <v>222</v>
      </c>
      <c r="C14" s="16" t="s">
        <v>118</v>
      </c>
      <c r="D14" s="6"/>
      <c r="E14" s="6"/>
      <c r="F14" s="6"/>
      <c r="G14" s="7"/>
    </row>
    <row r="15" spans="2:7" x14ac:dyDescent="0.2">
      <c r="B15" s="16" t="s">
        <v>117</v>
      </c>
      <c r="C15" s="5" t="s">
        <v>131</v>
      </c>
      <c r="D15" s="17" t="s">
        <v>121</v>
      </c>
      <c r="E15" s="17" t="s">
        <v>127</v>
      </c>
      <c r="F15" s="17" t="s">
        <v>135</v>
      </c>
      <c r="G15" s="24" t="s">
        <v>124</v>
      </c>
    </row>
    <row r="16" spans="2:7" x14ac:dyDescent="0.2">
      <c r="B16" s="5" t="s">
        <v>155</v>
      </c>
      <c r="C16" s="18">
        <v>18</v>
      </c>
      <c r="D16" s="19">
        <v>10</v>
      </c>
      <c r="E16" s="19"/>
      <c r="F16" s="19">
        <v>19</v>
      </c>
      <c r="G16" s="25">
        <v>54</v>
      </c>
    </row>
    <row r="17" spans="2:7" x14ac:dyDescent="0.2">
      <c r="B17" s="20" t="s">
        <v>173</v>
      </c>
      <c r="C17" s="21">
        <v>19</v>
      </c>
      <c r="D17" s="15"/>
      <c r="E17" s="15"/>
      <c r="F17" s="15">
        <v>14</v>
      </c>
      <c r="G17" s="26"/>
    </row>
    <row r="18" spans="2:7" x14ac:dyDescent="0.2">
      <c r="B18" s="20" t="s">
        <v>120</v>
      </c>
      <c r="C18" s="21">
        <v>34</v>
      </c>
      <c r="D18" s="15">
        <v>64</v>
      </c>
      <c r="E18" s="15"/>
      <c r="F18" s="15"/>
      <c r="G18" s="26"/>
    </row>
    <row r="19" spans="2:7" x14ac:dyDescent="0.2">
      <c r="B19" s="20" t="s">
        <v>123</v>
      </c>
      <c r="C19" s="21"/>
      <c r="D19" s="15">
        <v>32</v>
      </c>
      <c r="E19" s="15"/>
      <c r="F19" s="15"/>
      <c r="G19" s="26">
        <v>14</v>
      </c>
    </row>
    <row r="20" spans="2:7" x14ac:dyDescent="0.2">
      <c r="B20" s="20" t="s">
        <v>180</v>
      </c>
      <c r="C20" s="21"/>
      <c r="D20" s="15"/>
      <c r="E20" s="15">
        <v>26</v>
      </c>
      <c r="F20" s="15"/>
      <c r="G20" s="26"/>
    </row>
    <row r="21" spans="2:7" x14ac:dyDescent="0.2">
      <c r="B21" s="20" t="s">
        <v>158</v>
      </c>
      <c r="C21" s="21"/>
      <c r="D21" s="15"/>
      <c r="E21" s="15">
        <v>23</v>
      </c>
      <c r="F21" s="15"/>
      <c r="G21" s="26"/>
    </row>
    <row r="22" spans="2:7" x14ac:dyDescent="0.2">
      <c r="B22" s="20" t="s">
        <v>126</v>
      </c>
      <c r="C22" s="21"/>
      <c r="D22" s="15"/>
      <c r="E22" s="15">
        <v>26</v>
      </c>
      <c r="F22" s="15"/>
      <c r="G22" s="26"/>
    </row>
    <row r="23" spans="2:7" x14ac:dyDescent="0.2">
      <c r="B23" s="20" t="s">
        <v>150</v>
      </c>
      <c r="C23" s="21"/>
      <c r="D23" s="15">
        <v>26</v>
      </c>
      <c r="E23" s="15"/>
      <c r="F23" s="15">
        <v>19</v>
      </c>
      <c r="G23" s="26">
        <v>48</v>
      </c>
    </row>
    <row r="24" spans="2:7" x14ac:dyDescent="0.2">
      <c r="B24" s="20" t="s">
        <v>139</v>
      </c>
      <c r="C24" s="21"/>
      <c r="D24" s="15">
        <v>48</v>
      </c>
      <c r="E24" s="15"/>
      <c r="F24" s="15">
        <v>18</v>
      </c>
      <c r="G24" s="26">
        <v>27</v>
      </c>
    </row>
    <row r="25" spans="2:7" x14ac:dyDescent="0.2">
      <c r="B25" s="20" t="s">
        <v>146</v>
      </c>
      <c r="C25" s="21"/>
      <c r="D25" s="15">
        <v>69</v>
      </c>
      <c r="E25" s="15"/>
      <c r="F25" s="15">
        <v>17</v>
      </c>
      <c r="G25" s="26">
        <v>14</v>
      </c>
    </row>
    <row r="26" spans="2:7" x14ac:dyDescent="0.2">
      <c r="B26" s="20" t="s">
        <v>137</v>
      </c>
      <c r="C26" s="21"/>
      <c r="D26" s="15"/>
      <c r="E26" s="15"/>
      <c r="F26" s="15">
        <v>51</v>
      </c>
      <c r="G26" s="26"/>
    </row>
    <row r="27" spans="2:7" x14ac:dyDescent="0.2">
      <c r="B27" s="20" t="s">
        <v>143</v>
      </c>
      <c r="C27" s="21"/>
      <c r="D27" s="15">
        <v>48</v>
      </c>
      <c r="E27" s="15"/>
      <c r="F27" s="15">
        <v>13</v>
      </c>
      <c r="G27" s="26">
        <v>10</v>
      </c>
    </row>
    <row r="28" spans="2:7" x14ac:dyDescent="0.2">
      <c r="B28" s="20" t="s">
        <v>148</v>
      </c>
      <c r="C28" s="21">
        <v>26</v>
      </c>
      <c r="D28" s="15">
        <v>29</v>
      </c>
      <c r="E28" s="15"/>
      <c r="F28" s="15"/>
      <c r="G28" s="26"/>
    </row>
    <row r="29" spans="2:7" x14ac:dyDescent="0.2">
      <c r="B29" s="20" t="s">
        <v>133</v>
      </c>
      <c r="C29" s="21">
        <v>17</v>
      </c>
      <c r="D29" s="15">
        <v>14</v>
      </c>
      <c r="E29" s="15"/>
      <c r="F29" s="15">
        <v>19</v>
      </c>
      <c r="G29" s="26">
        <v>24</v>
      </c>
    </row>
    <row r="30" spans="2:7" x14ac:dyDescent="0.2">
      <c r="B30" s="20" t="s">
        <v>197</v>
      </c>
      <c r="C30" s="21"/>
      <c r="D30" s="15"/>
      <c r="E30" s="15"/>
      <c r="F30" s="15">
        <v>11</v>
      </c>
      <c r="G30" s="26">
        <v>17</v>
      </c>
    </row>
    <row r="31" spans="2:7" x14ac:dyDescent="0.2">
      <c r="B31" s="20" t="s">
        <v>163</v>
      </c>
      <c r="C31" s="21"/>
      <c r="D31" s="15"/>
      <c r="E31" s="15">
        <v>19</v>
      </c>
      <c r="F31" s="15"/>
      <c r="G31" s="26"/>
    </row>
    <row r="32" spans="2:7" x14ac:dyDescent="0.2">
      <c r="B32" s="20" t="s">
        <v>191</v>
      </c>
      <c r="C32" s="21"/>
      <c r="D32" s="15"/>
      <c r="E32" s="15"/>
      <c r="F32" s="15">
        <v>30</v>
      </c>
      <c r="G32" s="26">
        <v>16</v>
      </c>
    </row>
    <row r="33" spans="2:7" x14ac:dyDescent="0.2">
      <c r="B33" s="27" t="s">
        <v>129</v>
      </c>
      <c r="C33" s="28">
        <v>19</v>
      </c>
      <c r="D33" s="29">
        <v>25</v>
      </c>
      <c r="E33" s="29"/>
      <c r="F33" s="29">
        <v>32</v>
      </c>
      <c r="G33" s="30">
        <v>19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G442"/>
  <sheetViews>
    <sheetView workbookViewId="0">
      <selection activeCell="B7" sqref="B7"/>
    </sheetView>
  </sheetViews>
  <sheetFormatPr defaultRowHeight="12" x14ac:dyDescent="0.2"/>
  <cols>
    <col min="1" max="1" width="15.83203125" customWidth="1"/>
    <col min="2" max="4" width="21.83203125" customWidth="1"/>
    <col min="5" max="7" width="15.83203125" customWidth="1"/>
  </cols>
  <sheetData>
    <row r="1" spans="1:7" x14ac:dyDescent="0.2">
      <c r="A1" s="36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8" t="s">
        <v>6</v>
      </c>
    </row>
    <row r="2" spans="1:7" x14ac:dyDescent="0.2">
      <c r="A2" s="1" t="s">
        <v>223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>
        <v>90</v>
      </c>
    </row>
    <row r="3" spans="1:7" x14ac:dyDescent="0.2">
      <c r="A3" s="1" t="s">
        <v>224</v>
      </c>
      <c r="B3" s="1" t="s">
        <v>7</v>
      </c>
      <c r="C3" s="1" t="s">
        <v>12</v>
      </c>
      <c r="D3" s="1" t="s">
        <v>13</v>
      </c>
      <c r="E3" s="1" t="s">
        <v>10</v>
      </c>
      <c r="F3" s="1" t="s">
        <v>11</v>
      </c>
      <c r="G3" s="1">
        <v>30</v>
      </c>
    </row>
    <row r="4" spans="1:7" x14ac:dyDescent="0.2">
      <c r="A4" s="1" t="s">
        <v>225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11</v>
      </c>
      <c r="G4" s="1">
        <v>130</v>
      </c>
    </row>
    <row r="5" spans="1:7" x14ac:dyDescent="0.2">
      <c r="A5" s="1" t="s">
        <v>226</v>
      </c>
      <c r="B5" s="1" t="s">
        <v>7</v>
      </c>
      <c r="C5" s="1" t="s">
        <v>12</v>
      </c>
      <c r="D5" s="1" t="s">
        <v>18</v>
      </c>
      <c r="E5" s="1" t="s">
        <v>17</v>
      </c>
      <c r="F5" s="1" t="s">
        <v>19</v>
      </c>
      <c r="G5" s="1">
        <v>20</v>
      </c>
    </row>
    <row r="6" spans="1:7" x14ac:dyDescent="0.2">
      <c r="A6" s="1" t="s">
        <v>227</v>
      </c>
      <c r="B6" s="1" t="s">
        <v>14</v>
      </c>
      <c r="C6" s="1" t="s">
        <v>20</v>
      </c>
      <c r="D6" s="1" t="s">
        <v>21</v>
      </c>
      <c r="E6" s="1" t="s">
        <v>17</v>
      </c>
      <c r="F6" s="1" t="s">
        <v>22</v>
      </c>
      <c r="G6" s="1">
        <v>60</v>
      </c>
    </row>
    <row r="7" spans="1:7" x14ac:dyDescent="0.2">
      <c r="A7" s="1" t="s">
        <v>228</v>
      </c>
      <c r="B7" s="1" t="s">
        <v>14</v>
      </c>
      <c r="C7" s="1" t="s">
        <v>20</v>
      </c>
      <c r="D7" s="1" t="s">
        <v>23</v>
      </c>
      <c r="E7" s="1" t="s">
        <v>17</v>
      </c>
      <c r="F7" s="1" t="s">
        <v>24</v>
      </c>
      <c r="G7" s="1">
        <v>60</v>
      </c>
    </row>
    <row r="8" spans="1:7" x14ac:dyDescent="0.2">
      <c r="A8" s="1" t="s">
        <v>229</v>
      </c>
      <c r="B8" s="1" t="s">
        <v>7</v>
      </c>
      <c r="C8" s="1" t="s">
        <v>25</v>
      </c>
      <c r="D8" s="1" t="s">
        <v>26</v>
      </c>
      <c r="E8" s="1" t="s">
        <v>10</v>
      </c>
      <c r="F8" s="1" t="s">
        <v>27</v>
      </c>
      <c r="G8" s="1">
        <v>60</v>
      </c>
    </row>
    <row r="9" spans="1:7" x14ac:dyDescent="0.2">
      <c r="A9" s="1" t="s">
        <v>230</v>
      </c>
      <c r="B9" s="1" t="s">
        <v>28</v>
      </c>
      <c r="C9" s="1" t="s">
        <v>29</v>
      </c>
      <c r="D9" s="1" t="s">
        <v>30</v>
      </c>
      <c r="E9" s="1" t="s">
        <v>17</v>
      </c>
      <c r="F9" s="1" t="s">
        <v>24</v>
      </c>
      <c r="G9" s="1">
        <v>60</v>
      </c>
    </row>
    <row r="10" spans="1:7" x14ac:dyDescent="0.2">
      <c r="A10" s="1" t="s">
        <v>231</v>
      </c>
      <c r="B10" s="1" t="s">
        <v>7</v>
      </c>
      <c r="C10" s="1" t="s">
        <v>25</v>
      </c>
      <c r="D10" s="1" t="s">
        <v>31</v>
      </c>
      <c r="E10" s="1" t="s">
        <v>10</v>
      </c>
      <c r="F10" s="1" t="s">
        <v>27</v>
      </c>
      <c r="G10" s="1">
        <v>70</v>
      </c>
    </row>
    <row r="11" spans="1:7" x14ac:dyDescent="0.2">
      <c r="A11" s="1" t="s">
        <v>232</v>
      </c>
      <c r="B11" s="1" t="s">
        <v>7</v>
      </c>
      <c r="C11" s="1" t="s">
        <v>32</v>
      </c>
      <c r="D11" s="1" t="s">
        <v>33</v>
      </c>
      <c r="E11" s="1" t="s">
        <v>10</v>
      </c>
      <c r="F11" s="1" t="s">
        <v>19</v>
      </c>
      <c r="G11" s="1">
        <v>90</v>
      </c>
    </row>
    <row r="12" spans="1:7" x14ac:dyDescent="0.2">
      <c r="A12" s="1" t="s">
        <v>233</v>
      </c>
      <c r="B12" s="1" t="s">
        <v>7</v>
      </c>
      <c r="C12" s="1" t="s">
        <v>8</v>
      </c>
      <c r="D12" s="1" t="s">
        <v>33</v>
      </c>
      <c r="E12" s="1" t="s">
        <v>10</v>
      </c>
      <c r="F12" s="1" t="s">
        <v>19</v>
      </c>
      <c r="G12" s="1">
        <v>80</v>
      </c>
    </row>
    <row r="13" spans="1:7" x14ac:dyDescent="0.2">
      <c r="A13" s="1" t="s">
        <v>234</v>
      </c>
      <c r="B13" s="1" t="s">
        <v>28</v>
      </c>
      <c r="C13" s="1" t="s">
        <v>34</v>
      </c>
      <c r="D13" s="1" t="s">
        <v>35</v>
      </c>
      <c r="E13" s="1" t="s">
        <v>10</v>
      </c>
      <c r="F13" s="1" t="s">
        <v>27</v>
      </c>
      <c r="G13" s="1">
        <v>270</v>
      </c>
    </row>
    <row r="14" spans="1:7" x14ac:dyDescent="0.2">
      <c r="A14" s="1" t="s">
        <v>235</v>
      </c>
      <c r="B14" s="1" t="s">
        <v>28</v>
      </c>
      <c r="C14" s="1" t="s">
        <v>29</v>
      </c>
      <c r="D14" s="1" t="s">
        <v>36</v>
      </c>
      <c r="E14" s="1" t="s">
        <v>10</v>
      </c>
      <c r="F14" s="1" t="s">
        <v>19</v>
      </c>
      <c r="G14" s="1">
        <v>70</v>
      </c>
    </row>
    <row r="15" spans="1:7" x14ac:dyDescent="0.2">
      <c r="A15" s="1" t="s">
        <v>236</v>
      </c>
      <c r="B15" s="1" t="s">
        <v>37</v>
      </c>
      <c r="C15" s="1" t="s">
        <v>38</v>
      </c>
      <c r="D15" s="1" t="s">
        <v>31</v>
      </c>
      <c r="E15" s="1" t="s">
        <v>10</v>
      </c>
      <c r="F15" s="1" t="s">
        <v>27</v>
      </c>
      <c r="G15" s="1">
        <v>110</v>
      </c>
    </row>
    <row r="16" spans="1:7" x14ac:dyDescent="0.2">
      <c r="A16" s="1" t="s">
        <v>237</v>
      </c>
      <c r="B16" s="1" t="s">
        <v>14</v>
      </c>
      <c r="C16" s="1" t="s">
        <v>39</v>
      </c>
      <c r="D16" s="1" t="s">
        <v>40</v>
      </c>
      <c r="E16" s="1" t="s">
        <v>17</v>
      </c>
      <c r="F16" s="1" t="s">
        <v>27</v>
      </c>
      <c r="G16" s="1">
        <v>60</v>
      </c>
    </row>
    <row r="17" spans="1:7" x14ac:dyDescent="0.2">
      <c r="A17" s="1" t="s">
        <v>238</v>
      </c>
      <c r="B17" s="1" t="s">
        <v>41</v>
      </c>
      <c r="C17" s="1" t="s">
        <v>42</v>
      </c>
      <c r="D17" s="1" t="s">
        <v>9</v>
      </c>
      <c r="E17" s="1" t="s">
        <v>10</v>
      </c>
      <c r="F17" s="1" t="s">
        <v>11</v>
      </c>
      <c r="G17" s="1">
        <v>70</v>
      </c>
    </row>
    <row r="18" spans="1:7" x14ac:dyDescent="0.2">
      <c r="A18" s="1" t="s">
        <v>239</v>
      </c>
      <c r="B18" s="1" t="s">
        <v>41</v>
      </c>
      <c r="C18" s="1" t="s">
        <v>43</v>
      </c>
      <c r="D18" s="1" t="s">
        <v>23</v>
      </c>
      <c r="E18" s="1" t="s">
        <v>17</v>
      </c>
      <c r="F18" s="1" t="s">
        <v>24</v>
      </c>
      <c r="G18" s="1">
        <v>190</v>
      </c>
    </row>
    <row r="19" spans="1:7" x14ac:dyDescent="0.2">
      <c r="A19" s="1" t="s">
        <v>240</v>
      </c>
      <c r="B19" s="1" t="s">
        <v>41</v>
      </c>
      <c r="C19" s="1" t="s">
        <v>42</v>
      </c>
      <c r="D19" s="1" t="s">
        <v>44</v>
      </c>
      <c r="E19" s="1" t="s">
        <v>17</v>
      </c>
      <c r="F19" s="1" t="s">
        <v>24</v>
      </c>
      <c r="G19" s="1">
        <v>70</v>
      </c>
    </row>
    <row r="20" spans="1:7" x14ac:dyDescent="0.2">
      <c r="A20" s="1" t="s">
        <v>241</v>
      </c>
      <c r="B20" s="1" t="s">
        <v>14</v>
      </c>
      <c r="C20" s="1" t="s">
        <v>20</v>
      </c>
      <c r="D20" s="1" t="s">
        <v>45</v>
      </c>
      <c r="E20" s="1" t="s">
        <v>10</v>
      </c>
      <c r="F20" s="1" t="s">
        <v>11</v>
      </c>
      <c r="G20" s="1">
        <v>70</v>
      </c>
    </row>
    <row r="21" spans="1:7" x14ac:dyDescent="0.2">
      <c r="A21" s="1" t="s">
        <v>242</v>
      </c>
      <c r="B21" s="1" t="s">
        <v>14</v>
      </c>
      <c r="C21" s="1" t="s">
        <v>46</v>
      </c>
      <c r="D21" s="1" t="s">
        <v>9</v>
      </c>
      <c r="E21" s="1" t="s">
        <v>10</v>
      </c>
      <c r="F21" s="1" t="s">
        <v>11</v>
      </c>
      <c r="G21" s="1">
        <v>20</v>
      </c>
    </row>
    <row r="22" spans="1:7" x14ac:dyDescent="0.2">
      <c r="A22" s="1" t="s">
        <v>243</v>
      </c>
      <c r="B22" s="1" t="s">
        <v>7</v>
      </c>
      <c r="C22" s="1" t="s">
        <v>8</v>
      </c>
      <c r="D22" s="1" t="s">
        <v>47</v>
      </c>
      <c r="E22" s="1" t="s">
        <v>17</v>
      </c>
      <c r="F22" s="1" t="s">
        <v>48</v>
      </c>
      <c r="G22" s="1">
        <v>80</v>
      </c>
    </row>
    <row r="23" spans="1:7" x14ac:dyDescent="0.2">
      <c r="A23" s="1" t="s">
        <v>244</v>
      </c>
      <c r="B23" s="1" t="s">
        <v>37</v>
      </c>
      <c r="C23" s="1" t="s">
        <v>49</v>
      </c>
      <c r="D23" s="1" t="s">
        <v>50</v>
      </c>
      <c r="E23" s="1" t="s">
        <v>17</v>
      </c>
      <c r="F23" s="1" t="s">
        <v>22</v>
      </c>
      <c r="G23" s="1">
        <v>190</v>
      </c>
    </row>
    <row r="24" spans="1:7" x14ac:dyDescent="0.2">
      <c r="A24" s="1" t="s">
        <v>245</v>
      </c>
      <c r="B24" s="1" t="s">
        <v>7</v>
      </c>
      <c r="C24" s="1" t="s">
        <v>32</v>
      </c>
      <c r="D24" s="1" t="s">
        <v>51</v>
      </c>
      <c r="E24" s="1" t="s">
        <v>17</v>
      </c>
      <c r="F24" s="1" t="s">
        <v>24</v>
      </c>
      <c r="G24" s="1">
        <v>80</v>
      </c>
    </row>
    <row r="25" spans="1:7" x14ac:dyDescent="0.2">
      <c r="A25" s="1" t="s">
        <v>246</v>
      </c>
      <c r="B25" s="1" t="s">
        <v>7</v>
      </c>
      <c r="C25" s="1" t="s">
        <v>32</v>
      </c>
      <c r="D25" s="1" t="s">
        <v>52</v>
      </c>
      <c r="E25" s="1" t="s">
        <v>17</v>
      </c>
      <c r="F25" s="1" t="s">
        <v>11</v>
      </c>
      <c r="G25" s="1">
        <v>80</v>
      </c>
    </row>
    <row r="26" spans="1:7" x14ac:dyDescent="0.2">
      <c r="A26" s="1" t="s">
        <v>247</v>
      </c>
      <c r="B26" s="1" t="s">
        <v>14</v>
      </c>
      <c r="C26" s="1" t="s">
        <v>20</v>
      </c>
      <c r="D26" s="1" t="s">
        <v>18</v>
      </c>
      <c r="E26" s="1" t="s">
        <v>17</v>
      </c>
      <c r="F26" s="1" t="s">
        <v>19</v>
      </c>
      <c r="G26" s="1">
        <v>70</v>
      </c>
    </row>
    <row r="27" spans="1:7" x14ac:dyDescent="0.2">
      <c r="A27" s="1" t="s">
        <v>248</v>
      </c>
      <c r="B27" s="1" t="s">
        <v>14</v>
      </c>
      <c r="C27" s="1" t="s">
        <v>39</v>
      </c>
      <c r="D27" s="1" t="s">
        <v>53</v>
      </c>
      <c r="E27" s="1" t="s">
        <v>10</v>
      </c>
      <c r="F27" s="1" t="s">
        <v>19</v>
      </c>
      <c r="G27" s="1">
        <v>60</v>
      </c>
    </row>
    <row r="28" spans="1:7" x14ac:dyDescent="0.2">
      <c r="A28" s="1" t="s">
        <v>249</v>
      </c>
      <c r="B28" s="1" t="s">
        <v>37</v>
      </c>
      <c r="C28" s="1" t="s">
        <v>38</v>
      </c>
      <c r="D28" s="1" t="s">
        <v>44</v>
      </c>
      <c r="E28" s="1" t="s">
        <v>17</v>
      </c>
      <c r="F28" s="1" t="s">
        <v>24</v>
      </c>
      <c r="G28" s="1">
        <v>100</v>
      </c>
    </row>
    <row r="29" spans="1:7" x14ac:dyDescent="0.2">
      <c r="A29" s="1" t="s">
        <v>250</v>
      </c>
      <c r="B29" s="1" t="s">
        <v>14</v>
      </c>
      <c r="C29" s="1" t="s">
        <v>39</v>
      </c>
      <c r="D29" s="1" t="s">
        <v>54</v>
      </c>
      <c r="E29" s="1" t="s">
        <v>17</v>
      </c>
      <c r="F29" s="1" t="s">
        <v>19</v>
      </c>
      <c r="G29" s="1">
        <v>50</v>
      </c>
    </row>
    <row r="30" spans="1:7" x14ac:dyDescent="0.2">
      <c r="A30" s="1" t="s">
        <v>251</v>
      </c>
      <c r="B30" s="1" t="s">
        <v>41</v>
      </c>
      <c r="C30" s="1" t="s">
        <v>55</v>
      </c>
      <c r="D30" s="1" t="s">
        <v>56</v>
      </c>
      <c r="E30" s="1" t="s">
        <v>17</v>
      </c>
      <c r="F30" s="1" t="s">
        <v>24</v>
      </c>
      <c r="G30" s="1">
        <v>90</v>
      </c>
    </row>
    <row r="31" spans="1:7" x14ac:dyDescent="0.2">
      <c r="A31" s="1" t="s">
        <v>252</v>
      </c>
      <c r="B31" s="1" t="s">
        <v>7</v>
      </c>
      <c r="C31" s="1" t="s">
        <v>32</v>
      </c>
      <c r="D31" s="1" t="s">
        <v>57</v>
      </c>
      <c r="E31" s="1" t="s">
        <v>10</v>
      </c>
      <c r="F31" s="1" t="s">
        <v>22</v>
      </c>
      <c r="G31" s="1">
        <v>80</v>
      </c>
    </row>
    <row r="32" spans="1:7" x14ac:dyDescent="0.2">
      <c r="A32" s="1" t="s">
        <v>253</v>
      </c>
      <c r="B32" s="1" t="s">
        <v>14</v>
      </c>
      <c r="C32" s="1" t="s">
        <v>46</v>
      </c>
      <c r="D32" s="1" t="s">
        <v>30</v>
      </c>
      <c r="E32" s="1" t="s">
        <v>17</v>
      </c>
      <c r="F32" s="1" t="s">
        <v>24</v>
      </c>
      <c r="G32" s="1">
        <v>20</v>
      </c>
    </row>
    <row r="33" spans="1:7" x14ac:dyDescent="0.2">
      <c r="A33" s="1" t="s">
        <v>254</v>
      </c>
      <c r="B33" s="1" t="s">
        <v>7</v>
      </c>
      <c r="C33" s="1" t="s">
        <v>32</v>
      </c>
      <c r="D33" s="1" t="s">
        <v>31</v>
      </c>
      <c r="E33" s="1" t="s">
        <v>10</v>
      </c>
      <c r="F33" s="1" t="s">
        <v>27</v>
      </c>
      <c r="G33" s="1">
        <v>80</v>
      </c>
    </row>
    <row r="34" spans="1:7" x14ac:dyDescent="0.2">
      <c r="A34" s="1" t="s">
        <v>255</v>
      </c>
      <c r="B34" s="1" t="s">
        <v>7</v>
      </c>
      <c r="C34" s="1" t="s">
        <v>8</v>
      </c>
      <c r="D34" s="1" t="s">
        <v>23</v>
      </c>
      <c r="E34" s="1" t="s">
        <v>17</v>
      </c>
      <c r="F34" s="1" t="s">
        <v>24</v>
      </c>
      <c r="G34" s="1">
        <v>90</v>
      </c>
    </row>
    <row r="35" spans="1:7" x14ac:dyDescent="0.2">
      <c r="A35" s="1" t="s">
        <v>256</v>
      </c>
      <c r="B35" s="1" t="s">
        <v>41</v>
      </c>
      <c r="C35" s="1" t="s">
        <v>55</v>
      </c>
      <c r="D35" s="1" t="s">
        <v>33</v>
      </c>
      <c r="E35" s="1" t="s">
        <v>10</v>
      </c>
      <c r="F35" s="1" t="s">
        <v>19</v>
      </c>
      <c r="G35" s="1">
        <v>100</v>
      </c>
    </row>
    <row r="36" spans="1:7" x14ac:dyDescent="0.2">
      <c r="A36" s="1" t="s">
        <v>257</v>
      </c>
      <c r="B36" s="1" t="s">
        <v>37</v>
      </c>
      <c r="C36" s="1" t="s">
        <v>38</v>
      </c>
      <c r="D36" s="1" t="s">
        <v>52</v>
      </c>
      <c r="E36" s="1" t="s">
        <v>17</v>
      </c>
      <c r="F36" s="1" t="s">
        <v>11</v>
      </c>
      <c r="G36" s="1">
        <v>100</v>
      </c>
    </row>
    <row r="37" spans="1:7" x14ac:dyDescent="0.2">
      <c r="A37" s="1" t="s">
        <v>258</v>
      </c>
      <c r="B37" s="1" t="s">
        <v>28</v>
      </c>
      <c r="C37" s="1" t="s">
        <v>58</v>
      </c>
      <c r="D37" s="1" t="s">
        <v>56</v>
      </c>
      <c r="E37" s="1" t="s">
        <v>17</v>
      </c>
      <c r="F37" s="1" t="s">
        <v>24</v>
      </c>
      <c r="G37" s="1">
        <v>80</v>
      </c>
    </row>
    <row r="38" spans="1:7" x14ac:dyDescent="0.2">
      <c r="A38" s="1" t="s">
        <v>259</v>
      </c>
      <c r="B38" s="1" t="s">
        <v>37</v>
      </c>
      <c r="C38" s="1" t="s">
        <v>49</v>
      </c>
      <c r="D38" s="1" t="s">
        <v>30</v>
      </c>
      <c r="E38" s="1" t="s">
        <v>17</v>
      </c>
      <c r="F38" s="1" t="s">
        <v>24</v>
      </c>
      <c r="G38" s="1">
        <v>190</v>
      </c>
    </row>
    <row r="39" spans="1:7" x14ac:dyDescent="0.2">
      <c r="A39" s="1" t="s">
        <v>260</v>
      </c>
      <c r="B39" s="1" t="s">
        <v>37</v>
      </c>
      <c r="C39" s="1" t="s">
        <v>59</v>
      </c>
      <c r="D39" s="1" t="s">
        <v>60</v>
      </c>
      <c r="E39" s="1" t="s">
        <v>17</v>
      </c>
      <c r="F39" s="1" t="s">
        <v>11</v>
      </c>
      <c r="G39" s="1">
        <v>220</v>
      </c>
    </row>
    <row r="40" spans="1:7" x14ac:dyDescent="0.2">
      <c r="A40" s="1" t="s">
        <v>261</v>
      </c>
      <c r="B40" s="1" t="s">
        <v>14</v>
      </c>
      <c r="C40" s="1" t="s">
        <v>20</v>
      </c>
      <c r="D40" s="1" t="s">
        <v>61</v>
      </c>
      <c r="E40" s="1" t="s">
        <v>17</v>
      </c>
      <c r="F40" s="1" t="s">
        <v>11</v>
      </c>
      <c r="G40" s="1">
        <v>60</v>
      </c>
    </row>
    <row r="41" spans="1:7" x14ac:dyDescent="0.2">
      <c r="A41" s="1" t="s">
        <v>262</v>
      </c>
      <c r="B41" s="1" t="s">
        <v>41</v>
      </c>
      <c r="C41" s="1" t="s">
        <v>62</v>
      </c>
      <c r="D41" s="1" t="s">
        <v>47</v>
      </c>
      <c r="E41" s="1" t="s">
        <v>17</v>
      </c>
      <c r="F41" s="1" t="s">
        <v>48</v>
      </c>
      <c r="G41" s="1">
        <v>80</v>
      </c>
    </row>
    <row r="42" spans="1:7" x14ac:dyDescent="0.2">
      <c r="A42" s="1" t="s">
        <v>263</v>
      </c>
      <c r="B42" s="1" t="s">
        <v>37</v>
      </c>
      <c r="C42" s="1" t="s">
        <v>49</v>
      </c>
      <c r="D42" s="1" t="s">
        <v>63</v>
      </c>
      <c r="E42" s="1" t="s">
        <v>17</v>
      </c>
      <c r="F42" s="1" t="s">
        <v>11</v>
      </c>
      <c r="G42" s="1">
        <v>180</v>
      </c>
    </row>
    <row r="43" spans="1:7" x14ac:dyDescent="0.2">
      <c r="A43" s="1" t="s">
        <v>264</v>
      </c>
      <c r="B43" s="1" t="s">
        <v>37</v>
      </c>
      <c r="C43" s="1" t="s">
        <v>59</v>
      </c>
      <c r="D43" s="1" t="s">
        <v>64</v>
      </c>
      <c r="E43" s="1" t="s">
        <v>17</v>
      </c>
      <c r="F43" s="1" t="s">
        <v>65</v>
      </c>
      <c r="G43" s="1">
        <v>210</v>
      </c>
    </row>
    <row r="44" spans="1:7" x14ac:dyDescent="0.2">
      <c r="A44" s="1" t="s">
        <v>265</v>
      </c>
      <c r="B44" s="1" t="s">
        <v>37</v>
      </c>
      <c r="C44" s="1" t="s">
        <v>49</v>
      </c>
      <c r="D44" s="1" t="s">
        <v>66</v>
      </c>
      <c r="E44" s="1" t="s">
        <v>10</v>
      </c>
      <c r="F44" s="1" t="s">
        <v>22</v>
      </c>
      <c r="G44" s="1">
        <v>190</v>
      </c>
    </row>
    <row r="45" spans="1:7" x14ac:dyDescent="0.2">
      <c r="A45" s="1" t="s">
        <v>266</v>
      </c>
      <c r="B45" s="1" t="s">
        <v>41</v>
      </c>
      <c r="C45" s="1" t="s">
        <v>62</v>
      </c>
      <c r="D45" s="1" t="s">
        <v>67</v>
      </c>
      <c r="E45" s="1" t="s">
        <v>17</v>
      </c>
      <c r="F45" s="1" t="s">
        <v>19</v>
      </c>
      <c r="G45" s="1">
        <v>70</v>
      </c>
    </row>
    <row r="46" spans="1:7" x14ac:dyDescent="0.2">
      <c r="A46" s="1" t="s">
        <v>267</v>
      </c>
      <c r="B46" s="1" t="s">
        <v>14</v>
      </c>
      <c r="C46" s="1" t="s">
        <v>46</v>
      </c>
      <c r="D46" s="1" t="s">
        <v>63</v>
      </c>
      <c r="E46" s="1" t="s">
        <v>17</v>
      </c>
      <c r="F46" s="1" t="s">
        <v>11</v>
      </c>
      <c r="G46" s="1">
        <v>30</v>
      </c>
    </row>
    <row r="47" spans="1:7" x14ac:dyDescent="0.2">
      <c r="A47" s="1" t="s">
        <v>268</v>
      </c>
      <c r="B47" s="1" t="s">
        <v>37</v>
      </c>
      <c r="C47" s="1" t="s">
        <v>59</v>
      </c>
      <c r="D47" s="1" t="s">
        <v>68</v>
      </c>
      <c r="E47" s="1" t="s">
        <v>17</v>
      </c>
      <c r="F47" s="1" t="s">
        <v>19</v>
      </c>
      <c r="G47" s="1">
        <v>210</v>
      </c>
    </row>
    <row r="48" spans="1:7" x14ac:dyDescent="0.2">
      <c r="A48" s="1" t="s">
        <v>269</v>
      </c>
      <c r="B48" s="1" t="s">
        <v>14</v>
      </c>
      <c r="C48" s="1" t="s">
        <v>46</v>
      </c>
      <c r="D48" s="1" t="s">
        <v>44</v>
      </c>
      <c r="E48" s="1" t="s">
        <v>17</v>
      </c>
      <c r="F48" s="1" t="s">
        <v>24</v>
      </c>
      <c r="G48" s="1">
        <v>30</v>
      </c>
    </row>
    <row r="49" spans="1:7" x14ac:dyDescent="0.2">
      <c r="A49" s="1" t="s">
        <v>270</v>
      </c>
      <c r="B49" s="1" t="s">
        <v>41</v>
      </c>
      <c r="C49" s="1" t="s">
        <v>42</v>
      </c>
      <c r="D49" s="1" t="s">
        <v>21</v>
      </c>
      <c r="E49" s="1" t="s">
        <v>17</v>
      </c>
      <c r="F49" s="1" t="s">
        <v>22</v>
      </c>
      <c r="G49" s="1">
        <v>80</v>
      </c>
    </row>
    <row r="50" spans="1:7" x14ac:dyDescent="0.2">
      <c r="A50" s="1" t="s">
        <v>271</v>
      </c>
      <c r="B50" s="1" t="s">
        <v>37</v>
      </c>
      <c r="C50" s="1" t="s">
        <v>49</v>
      </c>
      <c r="D50" s="1" t="s">
        <v>36</v>
      </c>
      <c r="E50" s="1" t="s">
        <v>10</v>
      </c>
      <c r="F50" s="1" t="s">
        <v>19</v>
      </c>
      <c r="G50" s="1">
        <v>190</v>
      </c>
    </row>
    <row r="51" spans="1:7" x14ac:dyDescent="0.2">
      <c r="A51" s="1" t="s">
        <v>272</v>
      </c>
      <c r="B51" s="1" t="s">
        <v>7</v>
      </c>
      <c r="C51" s="1" t="s">
        <v>8</v>
      </c>
      <c r="D51" s="1" t="s">
        <v>26</v>
      </c>
      <c r="E51" s="1" t="s">
        <v>10</v>
      </c>
      <c r="F51" s="1" t="s">
        <v>27</v>
      </c>
      <c r="G51" s="1">
        <v>90</v>
      </c>
    </row>
    <row r="52" spans="1:7" x14ac:dyDescent="0.2">
      <c r="A52" s="1" t="s">
        <v>273</v>
      </c>
      <c r="B52" s="1" t="s">
        <v>7</v>
      </c>
      <c r="C52" s="1" t="s">
        <v>8</v>
      </c>
      <c r="D52" s="1" t="s">
        <v>40</v>
      </c>
      <c r="E52" s="1" t="s">
        <v>17</v>
      </c>
      <c r="F52" s="1" t="s">
        <v>27</v>
      </c>
      <c r="G52" s="1">
        <v>80</v>
      </c>
    </row>
    <row r="53" spans="1:7" x14ac:dyDescent="0.2">
      <c r="A53" s="1" t="s">
        <v>274</v>
      </c>
      <c r="B53" s="1" t="s">
        <v>41</v>
      </c>
      <c r="C53" s="1" t="s">
        <v>55</v>
      </c>
      <c r="D53" s="1" t="s">
        <v>40</v>
      </c>
      <c r="E53" s="1" t="s">
        <v>17</v>
      </c>
      <c r="F53" s="1" t="s">
        <v>27</v>
      </c>
      <c r="G53" s="1">
        <v>90</v>
      </c>
    </row>
    <row r="54" spans="1:7" x14ac:dyDescent="0.2">
      <c r="A54" s="1" t="s">
        <v>275</v>
      </c>
      <c r="B54" s="1" t="s">
        <v>7</v>
      </c>
      <c r="C54" s="1" t="s">
        <v>12</v>
      </c>
      <c r="D54" s="1" t="s">
        <v>23</v>
      </c>
      <c r="E54" s="1" t="s">
        <v>17</v>
      </c>
      <c r="F54" s="1" t="s">
        <v>24</v>
      </c>
      <c r="G54" s="1">
        <v>30</v>
      </c>
    </row>
    <row r="55" spans="1:7" x14ac:dyDescent="0.2">
      <c r="A55" s="1" t="s">
        <v>276</v>
      </c>
      <c r="B55" s="1" t="s">
        <v>37</v>
      </c>
      <c r="C55" s="1" t="s">
        <v>59</v>
      </c>
      <c r="D55" s="1" t="s">
        <v>56</v>
      </c>
      <c r="E55" s="1" t="s">
        <v>17</v>
      </c>
      <c r="F55" s="1" t="s">
        <v>24</v>
      </c>
      <c r="G55" s="1">
        <v>210</v>
      </c>
    </row>
    <row r="56" spans="1:7" x14ac:dyDescent="0.2">
      <c r="A56" s="1" t="s">
        <v>277</v>
      </c>
      <c r="B56" s="1" t="s">
        <v>7</v>
      </c>
      <c r="C56" s="1" t="s">
        <v>32</v>
      </c>
      <c r="D56" s="1" t="s">
        <v>69</v>
      </c>
      <c r="E56" s="1" t="s">
        <v>17</v>
      </c>
      <c r="F56" s="1" t="s">
        <v>11</v>
      </c>
      <c r="G56" s="1">
        <v>90</v>
      </c>
    </row>
    <row r="57" spans="1:7" x14ac:dyDescent="0.2">
      <c r="A57" s="1" t="s">
        <v>278</v>
      </c>
      <c r="B57" s="1" t="s">
        <v>41</v>
      </c>
      <c r="C57" s="1" t="s">
        <v>42</v>
      </c>
      <c r="D57" s="1" t="s">
        <v>18</v>
      </c>
      <c r="E57" s="1" t="s">
        <v>17</v>
      </c>
      <c r="F57" s="1" t="s">
        <v>19</v>
      </c>
      <c r="G57" s="1">
        <v>70</v>
      </c>
    </row>
    <row r="58" spans="1:7" x14ac:dyDescent="0.2">
      <c r="A58" s="1" t="s">
        <v>279</v>
      </c>
      <c r="B58" s="1" t="s">
        <v>41</v>
      </c>
      <c r="C58" s="1" t="s">
        <v>70</v>
      </c>
      <c r="D58" s="1" t="s">
        <v>60</v>
      </c>
      <c r="E58" s="1" t="s">
        <v>17</v>
      </c>
      <c r="F58" s="1" t="s">
        <v>11</v>
      </c>
      <c r="G58" s="1">
        <v>220</v>
      </c>
    </row>
    <row r="59" spans="1:7" x14ac:dyDescent="0.2">
      <c r="A59" s="1" t="s">
        <v>280</v>
      </c>
      <c r="B59" s="1" t="s">
        <v>41</v>
      </c>
      <c r="C59" s="1" t="s">
        <v>43</v>
      </c>
      <c r="D59" s="1" t="s">
        <v>13</v>
      </c>
      <c r="E59" s="1" t="s">
        <v>10</v>
      </c>
      <c r="F59" s="1" t="s">
        <v>11</v>
      </c>
      <c r="G59" s="1">
        <v>180</v>
      </c>
    </row>
    <row r="60" spans="1:7" x14ac:dyDescent="0.2">
      <c r="A60" s="1" t="s">
        <v>281</v>
      </c>
      <c r="B60" s="1" t="s">
        <v>7</v>
      </c>
      <c r="C60" s="1" t="s">
        <v>32</v>
      </c>
      <c r="D60" s="1" t="s">
        <v>40</v>
      </c>
      <c r="E60" s="1" t="s">
        <v>17</v>
      </c>
      <c r="F60" s="1" t="s">
        <v>27</v>
      </c>
      <c r="G60" s="1">
        <v>80</v>
      </c>
    </row>
    <row r="61" spans="1:7" x14ac:dyDescent="0.2">
      <c r="A61" s="1" t="s">
        <v>282</v>
      </c>
      <c r="B61" s="1" t="s">
        <v>37</v>
      </c>
      <c r="C61" s="1" t="s">
        <v>49</v>
      </c>
      <c r="D61" s="1" t="s">
        <v>71</v>
      </c>
      <c r="E61" s="1" t="s">
        <v>17</v>
      </c>
      <c r="F61" s="1" t="s">
        <v>11</v>
      </c>
      <c r="G61" s="1">
        <v>180</v>
      </c>
    </row>
    <row r="62" spans="1:7" x14ac:dyDescent="0.2">
      <c r="A62" s="1" t="s">
        <v>283</v>
      </c>
      <c r="B62" s="1" t="s">
        <v>14</v>
      </c>
      <c r="C62" s="1" t="s">
        <v>39</v>
      </c>
      <c r="D62" s="1" t="s">
        <v>51</v>
      </c>
      <c r="E62" s="1" t="s">
        <v>17</v>
      </c>
      <c r="F62" s="1" t="s">
        <v>24</v>
      </c>
      <c r="G62" s="1">
        <v>50</v>
      </c>
    </row>
    <row r="63" spans="1:7" x14ac:dyDescent="0.2">
      <c r="A63" s="1" t="s">
        <v>284</v>
      </c>
      <c r="B63" s="1" t="s">
        <v>41</v>
      </c>
      <c r="C63" s="1" t="s">
        <v>72</v>
      </c>
      <c r="D63" s="1" t="s">
        <v>73</v>
      </c>
      <c r="E63" s="1" t="s">
        <v>17</v>
      </c>
      <c r="F63" s="1" t="s">
        <v>19</v>
      </c>
      <c r="G63" s="1">
        <v>110</v>
      </c>
    </row>
    <row r="64" spans="1:7" x14ac:dyDescent="0.2">
      <c r="A64" s="1" t="s">
        <v>285</v>
      </c>
      <c r="B64" s="1" t="s">
        <v>14</v>
      </c>
      <c r="C64" s="1" t="s">
        <v>20</v>
      </c>
      <c r="D64" s="1" t="s">
        <v>51</v>
      </c>
      <c r="E64" s="1" t="s">
        <v>17</v>
      </c>
      <c r="F64" s="1" t="s">
        <v>24</v>
      </c>
      <c r="G64" s="1">
        <v>70</v>
      </c>
    </row>
    <row r="65" spans="1:7" x14ac:dyDescent="0.2">
      <c r="A65" s="1" t="s">
        <v>286</v>
      </c>
      <c r="B65" s="1" t="s">
        <v>41</v>
      </c>
      <c r="C65" s="1" t="s">
        <v>42</v>
      </c>
      <c r="D65" s="1" t="s">
        <v>52</v>
      </c>
      <c r="E65" s="1" t="s">
        <v>17</v>
      </c>
      <c r="F65" s="1" t="s">
        <v>11</v>
      </c>
      <c r="G65" s="1">
        <v>80</v>
      </c>
    </row>
    <row r="66" spans="1:7" x14ac:dyDescent="0.2">
      <c r="A66" s="1" t="s">
        <v>287</v>
      </c>
      <c r="B66" s="1" t="s">
        <v>41</v>
      </c>
      <c r="C66" s="1" t="s">
        <v>55</v>
      </c>
      <c r="D66" s="1" t="s">
        <v>47</v>
      </c>
      <c r="E66" s="1" t="s">
        <v>17</v>
      </c>
      <c r="F66" s="1" t="s">
        <v>48</v>
      </c>
      <c r="G66" s="1">
        <v>100</v>
      </c>
    </row>
    <row r="67" spans="1:7" x14ac:dyDescent="0.2">
      <c r="A67" s="1" t="s">
        <v>288</v>
      </c>
      <c r="B67" s="1" t="s">
        <v>28</v>
      </c>
      <c r="C67" s="1" t="s">
        <v>29</v>
      </c>
      <c r="D67" s="1" t="s">
        <v>9</v>
      </c>
      <c r="E67" s="1" t="s">
        <v>10</v>
      </c>
      <c r="F67" s="1" t="s">
        <v>11</v>
      </c>
      <c r="G67" s="1">
        <v>60</v>
      </c>
    </row>
    <row r="68" spans="1:7" x14ac:dyDescent="0.2">
      <c r="A68" s="1" t="s">
        <v>289</v>
      </c>
      <c r="B68" s="1" t="s">
        <v>41</v>
      </c>
      <c r="C68" s="1" t="s">
        <v>42</v>
      </c>
      <c r="D68" s="1" t="s">
        <v>36</v>
      </c>
      <c r="E68" s="1" t="s">
        <v>10</v>
      </c>
      <c r="F68" s="1" t="s">
        <v>19</v>
      </c>
      <c r="G68" s="1">
        <v>70</v>
      </c>
    </row>
    <row r="69" spans="1:7" x14ac:dyDescent="0.2">
      <c r="A69" s="1" t="s">
        <v>290</v>
      </c>
      <c r="B69" s="1" t="s">
        <v>7</v>
      </c>
      <c r="C69" s="1" t="s">
        <v>12</v>
      </c>
      <c r="D69" s="1" t="s">
        <v>50</v>
      </c>
      <c r="E69" s="1" t="s">
        <v>17</v>
      </c>
      <c r="F69" s="1" t="s">
        <v>22</v>
      </c>
      <c r="G69" s="1">
        <v>20</v>
      </c>
    </row>
    <row r="70" spans="1:7" x14ac:dyDescent="0.2">
      <c r="A70" s="1" t="s">
        <v>291</v>
      </c>
      <c r="B70" s="1" t="s">
        <v>14</v>
      </c>
      <c r="C70" s="1" t="s">
        <v>39</v>
      </c>
      <c r="D70" s="1" t="s">
        <v>52</v>
      </c>
      <c r="E70" s="1" t="s">
        <v>17</v>
      </c>
      <c r="F70" s="1" t="s">
        <v>11</v>
      </c>
      <c r="G70" s="1">
        <v>50</v>
      </c>
    </row>
    <row r="71" spans="1:7" x14ac:dyDescent="0.2">
      <c r="A71" s="1" t="s">
        <v>292</v>
      </c>
      <c r="B71" s="1" t="s">
        <v>7</v>
      </c>
      <c r="C71" s="1" t="s">
        <v>8</v>
      </c>
      <c r="D71" s="1" t="s">
        <v>30</v>
      </c>
      <c r="E71" s="1" t="s">
        <v>17</v>
      </c>
      <c r="F71" s="1" t="s">
        <v>24</v>
      </c>
      <c r="G71" s="1">
        <v>80</v>
      </c>
    </row>
    <row r="72" spans="1:7" x14ac:dyDescent="0.2">
      <c r="A72" s="1" t="s">
        <v>293</v>
      </c>
      <c r="B72" s="1" t="s">
        <v>37</v>
      </c>
      <c r="C72" s="1" t="s">
        <v>59</v>
      </c>
      <c r="D72" s="1" t="s">
        <v>21</v>
      </c>
      <c r="E72" s="1" t="s">
        <v>17</v>
      </c>
      <c r="F72" s="1" t="s">
        <v>22</v>
      </c>
      <c r="G72" s="1">
        <v>220</v>
      </c>
    </row>
    <row r="73" spans="1:7" x14ac:dyDescent="0.2">
      <c r="A73" s="1" t="s">
        <v>294</v>
      </c>
      <c r="B73" s="1" t="s">
        <v>37</v>
      </c>
      <c r="C73" s="1" t="s">
        <v>59</v>
      </c>
      <c r="D73" s="1" t="s">
        <v>33</v>
      </c>
      <c r="E73" s="1" t="s">
        <v>10</v>
      </c>
      <c r="F73" s="1" t="s">
        <v>19</v>
      </c>
      <c r="G73" s="1">
        <v>220</v>
      </c>
    </row>
    <row r="74" spans="1:7" x14ac:dyDescent="0.2">
      <c r="A74" s="1" t="s">
        <v>295</v>
      </c>
      <c r="B74" s="1" t="s">
        <v>14</v>
      </c>
      <c r="C74" s="1" t="s">
        <v>20</v>
      </c>
      <c r="D74" s="1" t="s">
        <v>74</v>
      </c>
      <c r="E74" s="1" t="s">
        <v>17</v>
      </c>
      <c r="F74" s="1" t="s">
        <v>11</v>
      </c>
      <c r="G74" s="1">
        <v>70</v>
      </c>
    </row>
    <row r="75" spans="1:7" x14ac:dyDescent="0.2">
      <c r="A75" s="1" t="s">
        <v>296</v>
      </c>
      <c r="B75" s="1" t="s">
        <v>7</v>
      </c>
      <c r="C75" s="1" t="s">
        <v>25</v>
      </c>
      <c r="D75" s="1" t="s">
        <v>75</v>
      </c>
      <c r="E75" s="1" t="s">
        <v>10</v>
      </c>
      <c r="F75" s="1" t="s">
        <v>27</v>
      </c>
      <c r="G75" s="1">
        <v>70</v>
      </c>
    </row>
    <row r="76" spans="1:7" x14ac:dyDescent="0.2">
      <c r="A76" s="1" t="s">
        <v>297</v>
      </c>
      <c r="B76" s="1" t="s">
        <v>41</v>
      </c>
      <c r="C76" s="1" t="s">
        <v>70</v>
      </c>
      <c r="D76" s="1" t="s">
        <v>13</v>
      </c>
      <c r="E76" s="1" t="s">
        <v>10</v>
      </c>
      <c r="F76" s="1" t="s">
        <v>11</v>
      </c>
      <c r="G76" s="1">
        <v>210</v>
      </c>
    </row>
    <row r="77" spans="1:7" x14ac:dyDescent="0.2">
      <c r="A77" s="1" t="s">
        <v>298</v>
      </c>
      <c r="B77" s="1" t="s">
        <v>28</v>
      </c>
      <c r="C77" s="1" t="s">
        <v>29</v>
      </c>
      <c r="D77" s="1" t="s">
        <v>71</v>
      </c>
      <c r="E77" s="1" t="s">
        <v>17</v>
      </c>
      <c r="F77" s="1" t="s">
        <v>11</v>
      </c>
      <c r="G77" s="1">
        <v>70</v>
      </c>
    </row>
    <row r="78" spans="1:7" x14ac:dyDescent="0.2">
      <c r="A78" s="1" t="s">
        <v>299</v>
      </c>
      <c r="B78" s="1" t="s">
        <v>28</v>
      </c>
      <c r="C78" s="1" t="s">
        <v>34</v>
      </c>
      <c r="D78" s="1" t="s">
        <v>13</v>
      </c>
      <c r="E78" s="1" t="s">
        <v>10</v>
      </c>
      <c r="F78" s="1" t="s">
        <v>11</v>
      </c>
      <c r="G78" s="1">
        <v>280</v>
      </c>
    </row>
    <row r="79" spans="1:7" x14ac:dyDescent="0.2">
      <c r="A79" s="1" t="s">
        <v>300</v>
      </c>
      <c r="B79" s="1" t="s">
        <v>41</v>
      </c>
      <c r="C79" s="1" t="s">
        <v>55</v>
      </c>
      <c r="D79" s="1" t="s">
        <v>50</v>
      </c>
      <c r="E79" s="1" t="s">
        <v>17</v>
      </c>
      <c r="F79" s="1" t="s">
        <v>22</v>
      </c>
      <c r="G79" s="1">
        <v>90</v>
      </c>
    </row>
    <row r="80" spans="1:7" x14ac:dyDescent="0.2">
      <c r="A80" s="1" t="s">
        <v>301</v>
      </c>
      <c r="B80" s="1" t="s">
        <v>7</v>
      </c>
      <c r="C80" s="1" t="s">
        <v>25</v>
      </c>
      <c r="D80" s="1" t="s">
        <v>35</v>
      </c>
      <c r="E80" s="1" t="s">
        <v>10</v>
      </c>
      <c r="F80" s="1" t="s">
        <v>27</v>
      </c>
      <c r="G80" s="1">
        <v>70</v>
      </c>
    </row>
    <row r="81" spans="1:7" x14ac:dyDescent="0.2">
      <c r="A81" s="1" t="s">
        <v>302</v>
      </c>
      <c r="B81" s="1" t="s">
        <v>14</v>
      </c>
      <c r="C81" s="1" t="s">
        <v>20</v>
      </c>
      <c r="D81" s="1" t="s">
        <v>63</v>
      </c>
      <c r="E81" s="1" t="s">
        <v>17</v>
      </c>
      <c r="F81" s="1" t="s">
        <v>11</v>
      </c>
      <c r="G81" s="1">
        <v>60</v>
      </c>
    </row>
    <row r="82" spans="1:7" x14ac:dyDescent="0.2">
      <c r="A82" s="1" t="s">
        <v>303</v>
      </c>
      <c r="B82" s="1" t="s">
        <v>41</v>
      </c>
      <c r="C82" s="1" t="s">
        <v>70</v>
      </c>
      <c r="D82" s="1" t="s">
        <v>40</v>
      </c>
      <c r="E82" s="1" t="s">
        <v>17</v>
      </c>
      <c r="F82" s="1" t="s">
        <v>27</v>
      </c>
      <c r="G82" s="1">
        <v>220</v>
      </c>
    </row>
    <row r="83" spans="1:7" x14ac:dyDescent="0.2">
      <c r="A83" s="1" t="s">
        <v>304</v>
      </c>
      <c r="B83" s="1" t="s">
        <v>14</v>
      </c>
      <c r="C83" s="1" t="s">
        <v>46</v>
      </c>
      <c r="D83" s="1" t="s">
        <v>69</v>
      </c>
      <c r="E83" s="1" t="s">
        <v>17</v>
      </c>
      <c r="F83" s="1" t="s">
        <v>11</v>
      </c>
      <c r="G83" s="1">
        <v>20</v>
      </c>
    </row>
    <row r="84" spans="1:7" x14ac:dyDescent="0.2">
      <c r="A84" s="1" t="s">
        <v>305</v>
      </c>
      <c r="B84" s="1" t="s">
        <v>7</v>
      </c>
      <c r="C84" s="1" t="s">
        <v>25</v>
      </c>
      <c r="D84" s="1" t="s">
        <v>76</v>
      </c>
      <c r="E84" s="1" t="s">
        <v>10</v>
      </c>
      <c r="F84" s="1" t="s">
        <v>19</v>
      </c>
      <c r="G84" s="1">
        <v>70</v>
      </c>
    </row>
    <row r="85" spans="1:7" x14ac:dyDescent="0.2">
      <c r="A85" s="1" t="s">
        <v>306</v>
      </c>
      <c r="B85" s="1" t="s">
        <v>7</v>
      </c>
      <c r="C85" s="1" t="s">
        <v>25</v>
      </c>
      <c r="D85" s="1" t="s">
        <v>30</v>
      </c>
      <c r="E85" s="1" t="s">
        <v>17</v>
      </c>
      <c r="F85" s="1" t="s">
        <v>24</v>
      </c>
      <c r="G85" s="1">
        <v>60</v>
      </c>
    </row>
    <row r="86" spans="1:7" x14ac:dyDescent="0.2">
      <c r="A86" s="1" t="s">
        <v>307</v>
      </c>
      <c r="B86" s="1" t="s">
        <v>7</v>
      </c>
      <c r="C86" s="1" t="s">
        <v>8</v>
      </c>
      <c r="D86" s="1" t="s">
        <v>35</v>
      </c>
      <c r="E86" s="1" t="s">
        <v>10</v>
      </c>
      <c r="F86" s="1" t="s">
        <v>27</v>
      </c>
      <c r="G86" s="1">
        <v>90</v>
      </c>
    </row>
    <row r="87" spans="1:7" x14ac:dyDescent="0.2">
      <c r="A87" s="1" t="s">
        <v>308</v>
      </c>
      <c r="B87" s="1" t="s">
        <v>37</v>
      </c>
      <c r="C87" s="1" t="s">
        <v>59</v>
      </c>
      <c r="D87" s="1" t="s">
        <v>66</v>
      </c>
      <c r="E87" s="1" t="s">
        <v>10</v>
      </c>
      <c r="F87" s="1" t="s">
        <v>22</v>
      </c>
      <c r="G87" s="1">
        <v>220</v>
      </c>
    </row>
    <row r="88" spans="1:7" x14ac:dyDescent="0.2">
      <c r="A88" s="1" t="s">
        <v>309</v>
      </c>
      <c r="B88" s="1" t="s">
        <v>37</v>
      </c>
      <c r="C88" s="1" t="s">
        <v>38</v>
      </c>
      <c r="D88" s="1" t="s">
        <v>9</v>
      </c>
      <c r="E88" s="1" t="s">
        <v>10</v>
      </c>
      <c r="F88" s="1" t="s">
        <v>11</v>
      </c>
      <c r="G88" s="1">
        <v>100</v>
      </c>
    </row>
    <row r="89" spans="1:7" x14ac:dyDescent="0.2">
      <c r="A89" s="1" t="s">
        <v>310</v>
      </c>
      <c r="B89" s="1" t="s">
        <v>28</v>
      </c>
      <c r="C89" s="1" t="s">
        <v>29</v>
      </c>
      <c r="D89" s="1" t="s">
        <v>35</v>
      </c>
      <c r="E89" s="1" t="s">
        <v>10</v>
      </c>
      <c r="F89" s="1" t="s">
        <v>27</v>
      </c>
      <c r="G89" s="1">
        <v>70</v>
      </c>
    </row>
    <row r="90" spans="1:7" x14ac:dyDescent="0.2">
      <c r="A90" s="1" t="s">
        <v>311</v>
      </c>
      <c r="B90" s="1" t="s">
        <v>14</v>
      </c>
      <c r="C90" s="1" t="s">
        <v>46</v>
      </c>
      <c r="D90" s="1" t="s">
        <v>67</v>
      </c>
      <c r="E90" s="1" t="s">
        <v>17</v>
      </c>
      <c r="F90" s="1" t="s">
        <v>19</v>
      </c>
      <c r="G90" s="1">
        <v>30</v>
      </c>
    </row>
    <row r="91" spans="1:7" x14ac:dyDescent="0.2">
      <c r="A91" s="1" t="s">
        <v>312</v>
      </c>
      <c r="B91" s="1" t="s">
        <v>41</v>
      </c>
      <c r="C91" s="1" t="s">
        <v>55</v>
      </c>
      <c r="D91" s="1" t="s">
        <v>69</v>
      </c>
      <c r="E91" s="1" t="s">
        <v>17</v>
      </c>
      <c r="F91" s="1" t="s">
        <v>11</v>
      </c>
      <c r="G91" s="1">
        <v>100</v>
      </c>
    </row>
    <row r="92" spans="1:7" x14ac:dyDescent="0.2">
      <c r="A92" s="1" t="s">
        <v>313</v>
      </c>
      <c r="B92" s="1" t="s">
        <v>14</v>
      </c>
      <c r="C92" s="1" t="s">
        <v>39</v>
      </c>
      <c r="D92" s="1" t="s">
        <v>56</v>
      </c>
      <c r="E92" s="1" t="s">
        <v>17</v>
      </c>
      <c r="F92" s="1" t="s">
        <v>24</v>
      </c>
      <c r="G92" s="1">
        <v>60</v>
      </c>
    </row>
    <row r="93" spans="1:7" x14ac:dyDescent="0.2">
      <c r="A93" s="1" t="s">
        <v>314</v>
      </c>
      <c r="B93" s="1" t="s">
        <v>7</v>
      </c>
      <c r="C93" s="1" t="s">
        <v>25</v>
      </c>
      <c r="D93" s="1" t="s">
        <v>36</v>
      </c>
      <c r="E93" s="1" t="s">
        <v>10</v>
      </c>
      <c r="F93" s="1" t="s">
        <v>19</v>
      </c>
      <c r="G93" s="1">
        <v>60</v>
      </c>
    </row>
    <row r="94" spans="1:7" x14ac:dyDescent="0.2">
      <c r="A94" s="1" t="s">
        <v>315</v>
      </c>
      <c r="B94" s="1" t="s">
        <v>14</v>
      </c>
      <c r="C94" s="1" t="s">
        <v>20</v>
      </c>
      <c r="D94" s="1" t="s">
        <v>44</v>
      </c>
      <c r="E94" s="1" t="s">
        <v>17</v>
      </c>
      <c r="F94" s="1" t="s">
        <v>24</v>
      </c>
      <c r="G94" s="1">
        <v>70</v>
      </c>
    </row>
    <row r="95" spans="1:7" x14ac:dyDescent="0.2">
      <c r="A95" s="1" t="s">
        <v>316</v>
      </c>
      <c r="B95" s="1" t="s">
        <v>41</v>
      </c>
      <c r="C95" s="1" t="s">
        <v>55</v>
      </c>
      <c r="D95" s="1" t="s">
        <v>68</v>
      </c>
      <c r="E95" s="1" t="s">
        <v>17</v>
      </c>
      <c r="F95" s="1" t="s">
        <v>19</v>
      </c>
      <c r="G95" s="1">
        <v>100</v>
      </c>
    </row>
    <row r="96" spans="1:7" x14ac:dyDescent="0.2">
      <c r="A96" s="1" t="s">
        <v>317</v>
      </c>
      <c r="B96" s="1" t="s">
        <v>7</v>
      </c>
      <c r="C96" s="1" t="s">
        <v>32</v>
      </c>
      <c r="D96" s="1" t="s">
        <v>50</v>
      </c>
      <c r="E96" s="1" t="s">
        <v>17</v>
      </c>
      <c r="F96" s="1" t="s">
        <v>22</v>
      </c>
      <c r="G96" s="1">
        <v>90</v>
      </c>
    </row>
    <row r="97" spans="1:7" x14ac:dyDescent="0.2">
      <c r="A97" s="1" t="s">
        <v>318</v>
      </c>
      <c r="B97" s="1" t="s">
        <v>41</v>
      </c>
      <c r="C97" s="1" t="s">
        <v>55</v>
      </c>
      <c r="D97" s="1" t="s">
        <v>45</v>
      </c>
      <c r="E97" s="1" t="s">
        <v>10</v>
      </c>
      <c r="F97" s="1" t="s">
        <v>11</v>
      </c>
      <c r="G97" s="1">
        <v>90</v>
      </c>
    </row>
    <row r="98" spans="1:7" x14ac:dyDescent="0.2">
      <c r="A98" s="1" t="s">
        <v>319</v>
      </c>
      <c r="B98" s="1" t="s">
        <v>7</v>
      </c>
      <c r="C98" s="1" t="s">
        <v>8</v>
      </c>
      <c r="D98" s="1" t="s">
        <v>53</v>
      </c>
      <c r="E98" s="1" t="s">
        <v>10</v>
      </c>
      <c r="F98" s="1" t="s">
        <v>19</v>
      </c>
      <c r="G98" s="1">
        <v>90</v>
      </c>
    </row>
    <row r="99" spans="1:7" x14ac:dyDescent="0.2">
      <c r="A99" s="1" t="s">
        <v>320</v>
      </c>
      <c r="B99" s="1" t="s">
        <v>37</v>
      </c>
      <c r="C99" s="1" t="s">
        <v>38</v>
      </c>
      <c r="D99" s="1" t="s">
        <v>40</v>
      </c>
      <c r="E99" s="1" t="s">
        <v>17</v>
      </c>
      <c r="F99" s="1" t="s">
        <v>27</v>
      </c>
      <c r="G99" s="1">
        <v>110</v>
      </c>
    </row>
    <row r="100" spans="1:7" x14ac:dyDescent="0.2">
      <c r="A100" s="1" t="s">
        <v>321</v>
      </c>
      <c r="B100" s="1" t="s">
        <v>14</v>
      </c>
      <c r="C100" s="1" t="s">
        <v>20</v>
      </c>
      <c r="D100" s="1" t="s">
        <v>16</v>
      </c>
      <c r="E100" s="1" t="s">
        <v>17</v>
      </c>
      <c r="F100" s="1" t="s">
        <v>11</v>
      </c>
      <c r="G100" s="1">
        <v>60</v>
      </c>
    </row>
    <row r="101" spans="1:7" x14ac:dyDescent="0.2">
      <c r="A101" s="1" t="s">
        <v>322</v>
      </c>
      <c r="B101" s="1" t="s">
        <v>37</v>
      </c>
      <c r="C101" s="1" t="s">
        <v>49</v>
      </c>
      <c r="D101" s="1" t="s">
        <v>21</v>
      </c>
      <c r="E101" s="1" t="s">
        <v>17</v>
      </c>
      <c r="F101" s="1" t="s">
        <v>22</v>
      </c>
      <c r="G101" s="1">
        <v>190</v>
      </c>
    </row>
    <row r="102" spans="1:7" x14ac:dyDescent="0.2">
      <c r="A102" s="1" t="s">
        <v>323</v>
      </c>
      <c r="B102" s="1" t="s">
        <v>37</v>
      </c>
      <c r="C102" s="1" t="s">
        <v>49</v>
      </c>
      <c r="D102" s="1" t="s">
        <v>47</v>
      </c>
      <c r="E102" s="1" t="s">
        <v>17</v>
      </c>
      <c r="F102" s="1" t="s">
        <v>48</v>
      </c>
      <c r="G102" s="1">
        <v>190</v>
      </c>
    </row>
    <row r="103" spans="1:7" x14ac:dyDescent="0.2">
      <c r="A103" s="1" t="s">
        <v>324</v>
      </c>
      <c r="B103" s="1" t="s">
        <v>28</v>
      </c>
      <c r="C103" s="1" t="s">
        <v>34</v>
      </c>
      <c r="D103" s="1" t="s">
        <v>77</v>
      </c>
      <c r="E103" s="1" t="s">
        <v>10</v>
      </c>
      <c r="F103" s="1" t="s">
        <v>19</v>
      </c>
      <c r="G103" s="1">
        <v>270</v>
      </c>
    </row>
    <row r="104" spans="1:7" x14ac:dyDescent="0.2">
      <c r="A104" s="1" t="s">
        <v>325</v>
      </c>
      <c r="B104" s="1" t="s">
        <v>14</v>
      </c>
      <c r="C104" s="1" t="s">
        <v>20</v>
      </c>
      <c r="D104" s="1" t="s">
        <v>30</v>
      </c>
      <c r="E104" s="1" t="s">
        <v>17</v>
      </c>
      <c r="F104" s="1" t="s">
        <v>24</v>
      </c>
      <c r="G104" s="1">
        <v>60</v>
      </c>
    </row>
    <row r="105" spans="1:7" x14ac:dyDescent="0.2">
      <c r="A105" s="1" t="s">
        <v>326</v>
      </c>
      <c r="B105" s="1" t="s">
        <v>7</v>
      </c>
      <c r="C105" s="1" t="s">
        <v>25</v>
      </c>
      <c r="D105" s="1" t="s">
        <v>78</v>
      </c>
      <c r="E105" s="1" t="s">
        <v>17</v>
      </c>
      <c r="F105" s="1" t="s">
        <v>22</v>
      </c>
      <c r="G105" s="1">
        <v>70</v>
      </c>
    </row>
    <row r="106" spans="1:7" x14ac:dyDescent="0.2">
      <c r="A106" s="1" t="s">
        <v>327</v>
      </c>
      <c r="B106" s="1" t="s">
        <v>37</v>
      </c>
      <c r="C106" s="1" t="s">
        <v>38</v>
      </c>
      <c r="D106" s="1" t="s">
        <v>13</v>
      </c>
      <c r="E106" s="1" t="s">
        <v>10</v>
      </c>
      <c r="F106" s="1" t="s">
        <v>11</v>
      </c>
      <c r="G106" s="1">
        <v>100</v>
      </c>
    </row>
    <row r="107" spans="1:7" x14ac:dyDescent="0.2">
      <c r="A107" s="1" t="s">
        <v>328</v>
      </c>
      <c r="B107" s="1" t="s">
        <v>37</v>
      </c>
      <c r="C107" s="1" t="s">
        <v>59</v>
      </c>
      <c r="D107" s="1" t="s">
        <v>78</v>
      </c>
      <c r="E107" s="1" t="s">
        <v>17</v>
      </c>
      <c r="F107" s="1" t="s">
        <v>22</v>
      </c>
      <c r="G107" s="1">
        <v>210</v>
      </c>
    </row>
    <row r="108" spans="1:7" x14ac:dyDescent="0.2">
      <c r="A108" s="1" t="s">
        <v>329</v>
      </c>
      <c r="B108" s="1" t="s">
        <v>28</v>
      </c>
      <c r="C108" s="1" t="s">
        <v>58</v>
      </c>
      <c r="D108" s="1" t="s">
        <v>13</v>
      </c>
      <c r="E108" s="1" t="s">
        <v>10</v>
      </c>
      <c r="F108" s="1" t="s">
        <v>11</v>
      </c>
      <c r="G108" s="1">
        <v>80</v>
      </c>
    </row>
    <row r="109" spans="1:7" x14ac:dyDescent="0.2">
      <c r="A109" s="1" t="s">
        <v>330</v>
      </c>
      <c r="B109" s="1" t="s">
        <v>37</v>
      </c>
      <c r="C109" s="1" t="s">
        <v>49</v>
      </c>
      <c r="D109" s="1" t="s">
        <v>13</v>
      </c>
      <c r="E109" s="1" t="s">
        <v>10</v>
      </c>
      <c r="F109" s="1" t="s">
        <v>11</v>
      </c>
      <c r="G109" s="1">
        <v>190</v>
      </c>
    </row>
    <row r="110" spans="1:7" x14ac:dyDescent="0.2">
      <c r="A110" s="1" t="s">
        <v>331</v>
      </c>
      <c r="B110" s="1" t="s">
        <v>79</v>
      </c>
      <c r="C110" s="1" t="s">
        <v>80</v>
      </c>
      <c r="D110" s="1" t="s">
        <v>30</v>
      </c>
      <c r="E110" s="1" t="s">
        <v>17</v>
      </c>
      <c r="F110" s="1" t="s">
        <v>24</v>
      </c>
      <c r="G110" s="1">
        <v>160</v>
      </c>
    </row>
    <row r="111" spans="1:7" x14ac:dyDescent="0.2">
      <c r="A111" s="1" t="s">
        <v>332</v>
      </c>
      <c r="B111" s="1" t="s">
        <v>41</v>
      </c>
      <c r="C111" s="1" t="s">
        <v>42</v>
      </c>
      <c r="D111" s="1" t="s">
        <v>51</v>
      </c>
      <c r="E111" s="1" t="s">
        <v>17</v>
      </c>
      <c r="F111" s="1" t="s">
        <v>24</v>
      </c>
      <c r="G111" s="1">
        <v>80</v>
      </c>
    </row>
    <row r="112" spans="1:7" x14ac:dyDescent="0.2">
      <c r="A112" s="1" t="s">
        <v>333</v>
      </c>
      <c r="B112" s="1" t="s">
        <v>41</v>
      </c>
      <c r="C112" s="1" t="s">
        <v>70</v>
      </c>
      <c r="D112" s="1" t="s">
        <v>50</v>
      </c>
      <c r="E112" s="1" t="s">
        <v>17</v>
      </c>
      <c r="F112" s="1" t="s">
        <v>22</v>
      </c>
      <c r="G112" s="1">
        <v>210</v>
      </c>
    </row>
    <row r="113" spans="1:7" x14ac:dyDescent="0.2">
      <c r="A113" s="1" t="s">
        <v>334</v>
      </c>
      <c r="B113" s="1" t="s">
        <v>14</v>
      </c>
      <c r="C113" s="1" t="s">
        <v>39</v>
      </c>
      <c r="D113" s="1" t="s">
        <v>44</v>
      </c>
      <c r="E113" s="1" t="s">
        <v>17</v>
      </c>
      <c r="F113" s="1" t="s">
        <v>24</v>
      </c>
      <c r="G113" s="1">
        <v>60</v>
      </c>
    </row>
    <row r="114" spans="1:7" x14ac:dyDescent="0.2">
      <c r="A114" s="1" t="s">
        <v>335</v>
      </c>
      <c r="B114" s="1" t="s">
        <v>41</v>
      </c>
      <c r="C114" s="1" t="s">
        <v>42</v>
      </c>
      <c r="D114" s="1" t="s">
        <v>30</v>
      </c>
      <c r="E114" s="1" t="s">
        <v>17</v>
      </c>
      <c r="F114" s="1" t="s">
        <v>24</v>
      </c>
      <c r="G114" s="1">
        <v>70</v>
      </c>
    </row>
    <row r="115" spans="1:7" x14ac:dyDescent="0.2">
      <c r="A115" s="1" t="s">
        <v>336</v>
      </c>
      <c r="B115" s="1" t="s">
        <v>7</v>
      </c>
      <c r="C115" s="1" t="s">
        <v>8</v>
      </c>
      <c r="D115" s="1" t="s">
        <v>71</v>
      </c>
      <c r="E115" s="1" t="s">
        <v>17</v>
      </c>
      <c r="F115" s="1" t="s">
        <v>11</v>
      </c>
      <c r="G115" s="1">
        <v>80</v>
      </c>
    </row>
    <row r="116" spans="1:7" x14ac:dyDescent="0.2">
      <c r="A116" s="1" t="s">
        <v>337</v>
      </c>
      <c r="B116" s="1" t="s">
        <v>14</v>
      </c>
      <c r="C116" s="1" t="s">
        <v>39</v>
      </c>
      <c r="D116" s="1" t="s">
        <v>30</v>
      </c>
      <c r="E116" s="1" t="s">
        <v>17</v>
      </c>
      <c r="F116" s="1" t="s">
        <v>24</v>
      </c>
      <c r="G116" s="1">
        <v>50</v>
      </c>
    </row>
    <row r="117" spans="1:7" x14ac:dyDescent="0.2">
      <c r="A117" s="1" t="s">
        <v>338</v>
      </c>
      <c r="B117" s="1" t="s">
        <v>41</v>
      </c>
      <c r="C117" s="1" t="s">
        <v>42</v>
      </c>
      <c r="D117" s="1" t="s">
        <v>60</v>
      </c>
      <c r="E117" s="1" t="s">
        <v>17</v>
      </c>
      <c r="F117" s="1" t="s">
        <v>11</v>
      </c>
      <c r="G117" s="1">
        <v>70</v>
      </c>
    </row>
    <row r="118" spans="1:7" x14ac:dyDescent="0.2">
      <c r="A118" s="1" t="s">
        <v>339</v>
      </c>
      <c r="B118" s="1" t="s">
        <v>37</v>
      </c>
      <c r="C118" s="1" t="s">
        <v>49</v>
      </c>
      <c r="D118" s="1" t="s">
        <v>44</v>
      </c>
      <c r="E118" s="1" t="s">
        <v>17</v>
      </c>
      <c r="F118" s="1" t="s">
        <v>24</v>
      </c>
      <c r="G118" s="1">
        <v>190</v>
      </c>
    </row>
    <row r="119" spans="1:7" x14ac:dyDescent="0.2">
      <c r="A119" s="1" t="s">
        <v>340</v>
      </c>
      <c r="B119" s="1" t="s">
        <v>14</v>
      </c>
      <c r="C119" s="1" t="s">
        <v>39</v>
      </c>
      <c r="D119" s="1" t="s">
        <v>9</v>
      </c>
      <c r="E119" s="1" t="s">
        <v>10</v>
      </c>
      <c r="F119" s="1" t="s">
        <v>11</v>
      </c>
      <c r="G119" s="1">
        <v>50</v>
      </c>
    </row>
    <row r="120" spans="1:7" x14ac:dyDescent="0.2">
      <c r="A120" s="1" t="s">
        <v>341</v>
      </c>
      <c r="B120" s="1" t="s">
        <v>37</v>
      </c>
      <c r="C120" s="1" t="s">
        <v>59</v>
      </c>
      <c r="D120" s="1" t="s">
        <v>40</v>
      </c>
      <c r="E120" s="1" t="s">
        <v>17</v>
      </c>
      <c r="F120" s="1" t="s">
        <v>27</v>
      </c>
      <c r="G120" s="1">
        <v>220</v>
      </c>
    </row>
    <row r="121" spans="1:7" x14ac:dyDescent="0.2">
      <c r="A121" s="1" t="s">
        <v>342</v>
      </c>
      <c r="B121" s="1" t="s">
        <v>37</v>
      </c>
      <c r="C121" s="1" t="s">
        <v>59</v>
      </c>
      <c r="D121" s="1" t="s">
        <v>50</v>
      </c>
      <c r="E121" s="1" t="s">
        <v>17</v>
      </c>
      <c r="F121" s="1" t="s">
        <v>22</v>
      </c>
      <c r="G121" s="1">
        <v>220</v>
      </c>
    </row>
    <row r="122" spans="1:7" x14ac:dyDescent="0.2">
      <c r="A122" s="1" t="s">
        <v>343</v>
      </c>
      <c r="B122" s="1" t="s">
        <v>41</v>
      </c>
      <c r="C122" s="1" t="s">
        <v>55</v>
      </c>
      <c r="D122" s="1" t="s">
        <v>30</v>
      </c>
      <c r="E122" s="1" t="s">
        <v>17</v>
      </c>
      <c r="F122" s="1" t="s">
        <v>24</v>
      </c>
      <c r="G122" s="1">
        <v>90</v>
      </c>
    </row>
    <row r="123" spans="1:7" x14ac:dyDescent="0.2">
      <c r="A123" s="1" t="s">
        <v>344</v>
      </c>
      <c r="B123" s="1" t="s">
        <v>14</v>
      </c>
      <c r="C123" s="1" t="s">
        <v>39</v>
      </c>
      <c r="D123" s="1" t="s">
        <v>73</v>
      </c>
      <c r="E123" s="1" t="s">
        <v>17</v>
      </c>
      <c r="F123" s="1" t="s">
        <v>19</v>
      </c>
      <c r="G123" s="1">
        <v>60</v>
      </c>
    </row>
    <row r="124" spans="1:7" x14ac:dyDescent="0.2">
      <c r="A124" s="1" t="s">
        <v>345</v>
      </c>
      <c r="B124" s="1" t="s">
        <v>41</v>
      </c>
      <c r="C124" s="1" t="s">
        <v>62</v>
      </c>
      <c r="D124" s="1" t="s">
        <v>23</v>
      </c>
      <c r="E124" s="1" t="s">
        <v>17</v>
      </c>
      <c r="F124" s="1" t="s">
        <v>24</v>
      </c>
      <c r="G124" s="1">
        <v>80</v>
      </c>
    </row>
    <row r="125" spans="1:7" x14ac:dyDescent="0.2">
      <c r="A125" s="1" t="s">
        <v>346</v>
      </c>
      <c r="B125" s="1" t="s">
        <v>14</v>
      </c>
      <c r="C125" s="1" t="s">
        <v>20</v>
      </c>
      <c r="D125" s="1" t="s">
        <v>52</v>
      </c>
      <c r="E125" s="1" t="s">
        <v>17</v>
      </c>
      <c r="F125" s="1" t="s">
        <v>11</v>
      </c>
      <c r="G125" s="1">
        <v>70</v>
      </c>
    </row>
    <row r="126" spans="1:7" x14ac:dyDescent="0.2">
      <c r="A126" s="1" t="s">
        <v>347</v>
      </c>
      <c r="B126" s="1" t="s">
        <v>41</v>
      </c>
      <c r="C126" s="1" t="s">
        <v>55</v>
      </c>
      <c r="D126" s="1" t="s">
        <v>81</v>
      </c>
      <c r="E126" s="1" t="s">
        <v>17</v>
      </c>
      <c r="F126" s="1" t="s">
        <v>27</v>
      </c>
      <c r="G126" s="1">
        <v>90</v>
      </c>
    </row>
    <row r="127" spans="1:7" x14ac:dyDescent="0.2">
      <c r="A127" s="1" t="s">
        <v>348</v>
      </c>
      <c r="B127" s="1" t="s">
        <v>28</v>
      </c>
      <c r="C127" s="1" t="s">
        <v>34</v>
      </c>
      <c r="D127" s="1" t="s">
        <v>44</v>
      </c>
      <c r="E127" s="1" t="s">
        <v>17</v>
      </c>
      <c r="F127" s="1" t="s">
        <v>24</v>
      </c>
      <c r="G127" s="1">
        <v>280</v>
      </c>
    </row>
    <row r="128" spans="1:7" x14ac:dyDescent="0.2">
      <c r="A128" s="1" t="s">
        <v>349</v>
      </c>
      <c r="B128" s="1" t="s">
        <v>41</v>
      </c>
      <c r="C128" s="1" t="s">
        <v>55</v>
      </c>
      <c r="D128" s="1" t="s">
        <v>82</v>
      </c>
      <c r="E128" s="1" t="s">
        <v>17</v>
      </c>
      <c r="F128" s="1" t="s">
        <v>11</v>
      </c>
      <c r="G128" s="1">
        <v>100</v>
      </c>
    </row>
    <row r="129" spans="1:7" x14ac:dyDescent="0.2">
      <c r="A129" s="1" t="s">
        <v>350</v>
      </c>
      <c r="B129" s="1" t="s">
        <v>7</v>
      </c>
      <c r="C129" s="1" t="s">
        <v>32</v>
      </c>
      <c r="D129" s="1" t="s">
        <v>45</v>
      </c>
      <c r="E129" s="1" t="s">
        <v>10</v>
      </c>
      <c r="F129" s="1" t="s">
        <v>11</v>
      </c>
      <c r="G129" s="1">
        <v>90</v>
      </c>
    </row>
    <row r="130" spans="1:7" x14ac:dyDescent="0.2">
      <c r="A130" s="1" t="s">
        <v>351</v>
      </c>
      <c r="B130" s="1" t="s">
        <v>37</v>
      </c>
      <c r="C130" s="1" t="s">
        <v>59</v>
      </c>
      <c r="D130" s="1" t="s">
        <v>83</v>
      </c>
      <c r="E130" s="1" t="s">
        <v>17</v>
      </c>
      <c r="F130" s="1" t="s">
        <v>65</v>
      </c>
      <c r="G130" s="1">
        <v>210</v>
      </c>
    </row>
    <row r="131" spans="1:7" x14ac:dyDescent="0.2">
      <c r="A131" s="1" t="s">
        <v>352</v>
      </c>
      <c r="B131" s="1" t="s">
        <v>28</v>
      </c>
      <c r="C131" s="1" t="s">
        <v>29</v>
      </c>
      <c r="D131" s="1" t="s">
        <v>63</v>
      </c>
      <c r="E131" s="1" t="s">
        <v>17</v>
      </c>
      <c r="F131" s="1" t="s">
        <v>11</v>
      </c>
      <c r="G131" s="1">
        <v>70</v>
      </c>
    </row>
    <row r="132" spans="1:7" x14ac:dyDescent="0.2">
      <c r="A132" s="1" t="s">
        <v>353</v>
      </c>
      <c r="B132" s="1" t="s">
        <v>41</v>
      </c>
      <c r="C132" s="1" t="s">
        <v>55</v>
      </c>
      <c r="D132" s="1" t="s">
        <v>71</v>
      </c>
      <c r="E132" s="1" t="s">
        <v>17</v>
      </c>
      <c r="F132" s="1" t="s">
        <v>11</v>
      </c>
      <c r="G132" s="1">
        <v>90</v>
      </c>
    </row>
    <row r="133" spans="1:7" x14ac:dyDescent="0.2">
      <c r="A133" s="1" t="s">
        <v>354</v>
      </c>
      <c r="B133" s="1" t="s">
        <v>41</v>
      </c>
      <c r="C133" s="1" t="s">
        <v>70</v>
      </c>
      <c r="D133" s="1" t="s">
        <v>18</v>
      </c>
      <c r="E133" s="1" t="s">
        <v>17</v>
      </c>
      <c r="F133" s="1" t="s">
        <v>19</v>
      </c>
      <c r="G133" s="1">
        <v>220</v>
      </c>
    </row>
    <row r="134" spans="1:7" x14ac:dyDescent="0.2">
      <c r="A134" s="1" t="s">
        <v>355</v>
      </c>
      <c r="B134" s="1" t="s">
        <v>7</v>
      </c>
      <c r="C134" s="1" t="s">
        <v>25</v>
      </c>
      <c r="D134" s="1" t="s">
        <v>64</v>
      </c>
      <c r="E134" s="1" t="s">
        <v>17</v>
      </c>
      <c r="F134" s="1" t="s">
        <v>65</v>
      </c>
      <c r="G134" s="1">
        <v>60</v>
      </c>
    </row>
    <row r="135" spans="1:7" x14ac:dyDescent="0.2">
      <c r="A135" s="1" t="s">
        <v>356</v>
      </c>
      <c r="B135" s="1" t="s">
        <v>7</v>
      </c>
      <c r="C135" s="1" t="s">
        <v>12</v>
      </c>
      <c r="D135" s="1" t="s">
        <v>84</v>
      </c>
      <c r="E135" s="1" t="s">
        <v>10</v>
      </c>
      <c r="F135" s="1" t="s">
        <v>11</v>
      </c>
      <c r="G135" s="1">
        <v>30</v>
      </c>
    </row>
    <row r="136" spans="1:7" x14ac:dyDescent="0.2">
      <c r="A136" s="1" t="s">
        <v>357</v>
      </c>
      <c r="B136" s="1" t="s">
        <v>41</v>
      </c>
      <c r="C136" s="1" t="s">
        <v>62</v>
      </c>
      <c r="D136" s="1" t="s">
        <v>83</v>
      </c>
      <c r="E136" s="1" t="s">
        <v>17</v>
      </c>
      <c r="F136" s="1" t="s">
        <v>65</v>
      </c>
      <c r="G136" s="1">
        <v>80</v>
      </c>
    </row>
    <row r="137" spans="1:7" x14ac:dyDescent="0.2">
      <c r="A137" s="1" t="s">
        <v>358</v>
      </c>
      <c r="B137" s="1" t="s">
        <v>41</v>
      </c>
      <c r="C137" s="1" t="s">
        <v>72</v>
      </c>
      <c r="D137" s="1" t="s">
        <v>40</v>
      </c>
      <c r="E137" s="1" t="s">
        <v>17</v>
      </c>
      <c r="F137" s="1" t="s">
        <v>27</v>
      </c>
      <c r="G137" s="1">
        <v>110</v>
      </c>
    </row>
    <row r="138" spans="1:7" x14ac:dyDescent="0.2">
      <c r="A138" s="1" t="s">
        <v>359</v>
      </c>
      <c r="B138" s="1" t="s">
        <v>14</v>
      </c>
      <c r="C138" s="1" t="s">
        <v>39</v>
      </c>
      <c r="D138" s="1" t="s">
        <v>71</v>
      </c>
      <c r="E138" s="1" t="s">
        <v>17</v>
      </c>
      <c r="F138" s="1" t="s">
        <v>11</v>
      </c>
      <c r="G138" s="1">
        <v>60</v>
      </c>
    </row>
    <row r="139" spans="1:7" x14ac:dyDescent="0.2">
      <c r="A139" s="1" t="s">
        <v>360</v>
      </c>
      <c r="B139" s="1" t="s">
        <v>7</v>
      </c>
      <c r="C139" s="1" t="s">
        <v>32</v>
      </c>
      <c r="D139" s="1" t="s">
        <v>21</v>
      </c>
      <c r="E139" s="1" t="s">
        <v>17</v>
      </c>
      <c r="F139" s="1" t="s">
        <v>22</v>
      </c>
      <c r="G139" s="1">
        <v>80</v>
      </c>
    </row>
    <row r="140" spans="1:7" x14ac:dyDescent="0.2">
      <c r="A140" s="1" t="s">
        <v>361</v>
      </c>
      <c r="B140" s="1" t="s">
        <v>41</v>
      </c>
      <c r="C140" s="1" t="s">
        <v>70</v>
      </c>
      <c r="D140" s="1" t="s">
        <v>85</v>
      </c>
      <c r="E140" s="1" t="s">
        <v>17</v>
      </c>
      <c r="F140" s="1" t="s">
        <v>24</v>
      </c>
      <c r="G140" s="1">
        <v>210</v>
      </c>
    </row>
    <row r="141" spans="1:7" x14ac:dyDescent="0.2">
      <c r="A141" s="1" t="s">
        <v>362</v>
      </c>
      <c r="B141" s="1" t="s">
        <v>14</v>
      </c>
      <c r="C141" s="1" t="s">
        <v>20</v>
      </c>
      <c r="D141" s="1" t="s">
        <v>9</v>
      </c>
      <c r="E141" s="1" t="s">
        <v>10</v>
      </c>
      <c r="F141" s="1" t="s">
        <v>11</v>
      </c>
      <c r="G141" s="1">
        <v>60</v>
      </c>
    </row>
    <row r="142" spans="1:7" x14ac:dyDescent="0.2">
      <c r="A142" s="1" t="s">
        <v>363</v>
      </c>
      <c r="B142" s="1" t="s">
        <v>7</v>
      </c>
      <c r="C142" s="1" t="s">
        <v>32</v>
      </c>
      <c r="D142" s="1" t="s">
        <v>85</v>
      </c>
      <c r="E142" s="1" t="s">
        <v>17</v>
      </c>
      <c r="F142" s="1" t="s">
        <v>24</v>
      </c>
      <c r="G142" s="1">
        <v>90</v>
      </c>
    </row>
    <row r="143" spans="1:7" x14ac:dyDescent="0.2">
      <c r="A143" s="1" t="s">
        <v>364</v>
      </c>
      <c r="B143" s="1" t="s">
        <v>7</v>
      </c>
      <c r="C143" s="1" t="s">
        <v>25</v>
      </c>
      <c r="D143" s="1" t="s">
        <v>86</v>
      </c>
      <c r="E143" s="1" t="s">
        <v>10</v>
      </c>
      <c r="F143" s="1" t="s">
        <v>19</v>
      </c>
      <c r="G143" s="1">
        <v>70</v>
      </c>
    </row>
    <row r="144" spans="1:7" x14ac:dyDescent="0.2">
      <c r="A144" s="1" t="s">
        <v>365</v>
      </c>
      <c r="B144" s="1" t="s">
        <v>37</v>
      </c>
      <c r="C144" s="1" t="s">
        <v>49</v>
      </c>
      <c r="D144" s="1" t="s">
        <v>18</v>
      </c>
      <c r="E144" s="1" t="s">
        <v>17</v>
      </c>
      <c r="F144" s="1" t="s">
        <v>19</v>
      </c>
      <c r="G144" s="1">
        <v>190</v>
      </c>
    </row>
    <row r="145" spans="1:7" x14ac:dyDescent="0.2">
      <c r="A145" s="1" t="s">
        <v>366</v>
      </c>
      <c r="B145" s="1" t="s">
        <v>14</v>
      </c>
      <c r="C145" s="1" t="s">
        <v>46</v>
      </c>
      <c r="D145" s="1" t="s">
        <v>40</v>
      </c>
      <c r="E145" s="1" t="s">
        <v>17</v>
      </c>
      <c r="F145" s="1" t="s">
        <v>27</v>
      </c>
      <c r="G145" s="1">
        <v>20</v>
      </c>
    </row>
    <row r="146" spans="1:7" x14ac:dyDescent="0.2">
      <c r="A146" s="1" t="s">
        <v>367</v>
      </c>
      <c r="B146" s="1" t="s">
        <v>37</v>
      </c>
      <c r="C146" s="1" t="s">
        <v>38</v>
      </c>
      <c r="D146" s="1" t="s">
        <v>66</v>
      </c>
      <c r="E146" s="1" t="s">
        <v>10</v>
      </c>
      <c r="F146" s="1" t="s">
        <v>22</v>
      </c>
      <c r="G146" s="1">
        <v>110</v>
      </c>
    </row>
    <row r="147" spans="1:7" x14ac:dyDescent="0.2">
      <c r="A147" s="1" t="s">
        <v>368</v>
      </c>
      <c r="B147" s="1" t="s">
        <v>28</v>
      </c>
      <c r="C147" s="1" t="s">
        <v>29</v>
      </c>
      <c r="D147" s="1" t="s">
        <v>87</v>
      </c>
      <c r="E147" s="1" t="s">
        <v>17</v>
      </c>
      <c r="F147" s="1" t="s">
        <v>27</v>
      </c>
      <c r="G147" s="1">
        <v>70</v>
      </c>
    </row>
    <row r="148" spans="1:7" x14ac:dyDescent="0.2">
      <c r="A148" s="1" t="s">
        <v>369</v>
      </c>
      <c r="B148" s="1" t="s">
        <v>41</v>
      </c>
      <c r="C148" s="1" t="s">
        <v>62</v>
      </c>
      <c r="D148" s="1" t="s">
        <v>88</v>
      </c>
      <c r="E148" s="1" t="s">
        <v>17</v>
      </c>
      <c r="F148" s="1" t="s">
        <v>27</v>
      </c>
      <c r="G148" s="1">
        <v>70</v>
      </c>
    </row>
    <row r="149" spans="1:7" x14ac:dyDescent="0.2">
      <c r="A149" s="1" t="s">
        <v>370</v>
      </c>
      <c r="B149" s="1" t="s">
        <v>7</v>
      </c>
      <c r="C149" s="1" t="s">
        <v>12</v>
      </c>
      <c r="D149" s="1" t="s">
        <v>63</v>
      </c>
      <c r="E149" s="1" t="s">
        <v>17</v>
      </c>
      <c r="F149" s="1" t="s">
        <v>11</v>
      </c>
      <c r="G149" s="1">
        <v>30</v>
      </c>
    </row>
    <row r="150" spans="1:7" x14ac:dyDescent="0.2">
      <c r="A150" s="1" t="s">
        <v>371</v>
      </c>
      <c r="B150" s="1" t="s">
        <v>41</v>
      </c>
      <c r="C150" s="1" t="s">
        <v>42</v>
      </c>
      <c r="D150" s="1" t="s">
        <v>69</v>
      </c>
      <c r="E150" s="1" t="s">
        <v>17</v>
      </c>
      <c r="F150" s="1" t="s">
        <v>11</v>
      </c>
      <c r="G150" s="1">
        <v>80</v>
      </c>
    </row>
    <row r="151" spans="1:7" x14ac:dyDescent="0.2">
      <c r="A151" s="1" t="s">
        <v>372</v>
      </c>
      <c r="B151" s="1" t="s">
        <v>37</v>
      </c>
      <c r="C151" s="1" t="s">
        <v>59</v>
      </c>
      <c r="D151" s="1" t="s">
        <v>9</v>
      </c>
      <c r="E151" s="1" t="s">
        <v>10</v>
      </c>
      <c r="F151" s="1" t="s">
        <v>11</v>
      </c>
      <c r="G151" s="1">
        <v>210</v>
      </c>
    </row>
    <row r="152" spans="1:7" x14ac:dyDescent="0.2">
      <c r="A152" s="1" t="s">
        <v>373</v>
      </c>
      <c r="B152" s="1" t="s">
        <v>28</v>
      </c>
      <c r="C152" s="1" t="s">
        <v>29</v>
      </c>
      <c r="D152" s="1" t="s">
        <v>89</v>
      </c>
      <c r="E152" s="1" t="s">
        <v>17</v>
      </c>
      <c r="F152" s="1" t="s">
        <v>11</v>
      </c>
      <c r="G152" s="1">
        <v>70</v>
      </c>
    </row>
    <row r="153" spans="1:7" x14ac:dyDescent="0.2">
      <c r="A153" s="1" t="s">
        <v>374</v>
      </c>
      <c r="B153" s="1" t="s">
        <v>41</v>
      </c>
      <c r="C153" s="1" t="s">
        <v>55</v>
      </c>
      <c r="D153" s="1" t="s">
        <v>16</v>
      </c>
      <c r="E153" s="1" t="s">
        <v>17</v>
      </c>
      <c r="F153" s="1" t="s">
        <v>11</v>
      </c>
      <c r="G153" s="1">
        <v>100</v>
      </c>
    </row>
    <row r="154" spans="1:7" x14ac:dyDescent="0.2">
      <c r="A154" s="1" t="s">
        <v>375</v>
      </c>
      <c r="B154" s="1" t="s">
        <v>7</v>
      </c>
      <c r="C154" s="1" t="s">
        <v>12</v>
      </c>
      <c r="D154" s="1" t="s">
        <v>52</v>
      </c>
      <c r="E154" s="1" t="s">
        <v>17</v>
      </c>
      <c r="F154" s="1" t="s">
        <v>11</v>
      </c>
      <c r="G154" s="1">
        <v>30</v>
      </c>
    </row>
    <row r="155" spans="1:7" x14ac:dyDescent="0.2">
      <c r="A155" s="1" t="s">
        <v>376</v>
      </c>
      <c r="B155" s="1" t="s">
        <v>7</v>
      </c>
      <c r="C155" s="1" t="s">
        <v>12</v>
      </c>
      <c r="D155" s="1" t="s">
        <v>53</v>
      </c>
      <c r="E155" s="1" t="s">
        <v>10</v>
      </c>
      <c r="F155" s="1" t="s">
        <v>19</v>
      </c>
      <c r="G155" s="1">
        <v>30</v>
      </c>
    </row>
    <row r="156" spans="1:7" x14ac:dyDescent="0.2">
      <c r="A156" s="1" t="s">
        <v>377</v>
      </c>
      <c r="B156" s="1" t="s">
        <v>7</v>
      </c>
      <c r="C156" s="1" t="s">
        <v>32</v>
      </c>
      <c r="D156" s="1" t="s">
        <v>66</v>
      </c>
      <c r="E156" s="1" t="s">
        <v>10</v>
      </c>
      <c r="F156" s="1" t="s">
        <v>22</v>
      </c>
      <c r="G156" s="1">
        <v>90</v>
      </c>
    </row>
    <row r="157" spans="1:7" x14ac:dyDescent="0.2">
      <c r="A157" s="1" t="s">
        <v>378</v>
      </c>
      <c r="B157" s="1" t="s">
        <v>7</v>
      </c>
      <c r="C157" s="1" t="s">
        <v>12</v>
      </c>
      <c r="D157" s="1" t="s">
        <v>47</v>
      </c>
      <c r="E157" s="1" t="s">
        <v>17</v>
      </c>
      <c r="F157" s="1" t="s">
        <v>48</v>
      </c>
      <c r="G157" s="1">
        <v>20</v>
      </c>
    </row>
    <row r="158" spans="1:7" x14ac:dyDescent="0.2">
      <c r="A158" s="1" t="s">
        <v>379</v>
      </c>
      <c r="B158" s="1" t="s">
        <v>28</v>
      </c>
      <c r="C158" s="1" t="s">
        <v>58</v>
      </c>
      <c r="D158" s="1" t="s">
        <v>9</v>
      </c>
      <c r="E158" s="1" t="s">
        <v>10</v>
      </c>
      <c r="F158" s="1" t="s">
        <v>11</v>
      </c>
      <c r="G158" s="1">
        <v>90</v>
      </c>
    </row>
    <row r="159" spans="1:7" x14ac:dyDescent="0.2">
      <c r="A159" s="1" t="s">
        <v>380</v>
      </c>
      <c r="B159" s="1" t="s">
        <v>28</v>
      </c>
      <c r="C159" s="1" t="s">
        <v>58</v>
      </c>
      <c r="D159" s="1" t="s">
        <v>74</v>
      </c>
      <c r="E159" s="1" t="s">
        <v>17</v>
      </c>
      <c r="F159" s="1" t="s">
        <v>11</v>
      </c>
      <c r="G159" s="1">
        <v>80</v>
      </c>
    </row>
    <row r="160" spans="1:7" x14ac:dyDescent="0.2">
      <c r="A160" s="1" t="s">
        <v>381</v>
      </c>
      <c r="B160" s="1" t="s">
        <v>14</v>
      </c>
      <c r="C160" s="1" t="s">
        <v>46</v>
      </c>
      <c r="D160" s="1" t="s">
        <v>90</v>
      </c>
      <c r="E160" s="1" t="s">
        <v>10</v>
      </c>
      <c r="F160" s="1" t="s">
        <v>22</v>
      </c>
      <c r="G160" s="1">
        <v>30</v>
      </c>
    </row>
    <row r="161" spans="1:7" x14ac:dyDescent="0.2">
      <c r="A161" s="1" t="s">
        <v>382</v>
      </c>
      <c r="B161" s="1" t="s">
        <v>41</v>
      </c>
      <c r="C161" s="1" t="s">
        <v>62</v>
      </c>
      <c r="D161" s="1" t="s">
        <v>91</v>
      </c>
      <c r="E161" s="1" t="s">
        <v>17</v>
      </c>
      <c r="F161" s="1" t="s">
        <v>19</v>
      </c>
      <c r="G161" s="1">
        <v>70</v>
      </c>
    </row>
    <row r="162" spans="1:7" x14ac:dyDescent="0.2">
      <c r="A162" s="1" t="s">
        <v>383</v>
      </c>
      <c r="B162" s="1" t="s">
        <v>7</v>
      </c>
      <c r="C162" s="1" t="s">
        <v>25</v>
      </c>
      <c r="D162" s="1" t="s">
        <v>44</v>
      </c>
      <c r="E162" s="1" t="s">
        <v>17</v>
      </c>
      <c r="F162" s="1" t="s">
        <v>24</v>
      </c>
      <c r="G162" s="1">
        <v>60</v>
      </c>
    </row>
    <row r="163" spans="1:7" x14ac:dyDescent="0.2">
      <c r="A163" s="1" t="s">
        <v>384</v>
      </c>
      <c r="B163" s="1" t="s">
        <v>7</v>
      </c>
      <c r="C163" s="1" t="s">
        <v>12</v>
      </c>
      <c r="D163" s="1" t="s">
        <v>9</v>
      </c>
      <c r="E163" s="1" t="s">
        <v>10</v>
      </c>
      <c r="F163" s="1" t="s">
        <v>11</v>
      </c>
      <c r="G163" s="1">
        <v>20</v>
      </c>
    </row>
    <row r="164" spans="1:7" x14ac:dyDescent="0.2">
      <c r="A164" s="1" t="s">
        <v>385</v>
      </c>
      <c r="B164" s="1" t="s">
        <v>41</v>
      </c>
      <c r="C164" s="1" t="s">
        <v>43</v>
      </c>
      <c r="D164" s="1" t="s">
        <v>63</v>
      </c>
      <c r="E164" s="1" t="s">
        <v>17</v>
      </c>
      <c r="F164" s="1" t="s">
        <v>11</v>
      </c>
      <c r="G164" s="1">
        <v>190</v>
      </c>
    </row>
    <row r="165" spans="1:7" x14ac:dyDescent="0.2">
      <c r="A165" s="1" t="s">
        <v>386</v>
      </c>
      <c r="B165" s="1" t="s">
        <v>37</v>
      </c>
      <c r="C165" s="1" t="s">
        <v>38</v>
      </c>
      <c r="D165" s="1" t="s">
        <v>16</v>
      </c>
      <c r="E165" s="1" t="s">
        <v>17</v>
      </c>
      <c r="F165" s="1" t="s">
        <v>11</v>
      </c>
      <c r="G165" s="1">
        <v>100</v>
      </c>
    </row>
    <row r="166" spans="1:7" x14ac:dyDescent="0.2">
      <c r="A166" s="1" t="s">
        <v>387</v>
      </c>
      <c r="B166" s="1" t="s">
        <v>7</v>
      </c>
      <c r="C166" s="1" t="s">
        <v>12</v>
      </c>
      <c r="D166" s="1" t="s">
        <v>92</v>
      </c>
      <c r="E166" s="1" t="s">
        <v>17</v>
      </c>
      <c r="F166" s="1" t="s">
        <v>65</v>
      </c>
      <c r="G166" s="1">
        <v>20</v>
      </c>
    </row>
    <row r="167" spans="1:7" x14ac:dyDescent="0.2">
      <c r="A167" s="1" t="s">
        <v>388</v>
      </c>
      <c r="B167" s="1" t="s">
        <v>28</v>
      </c>
      <c r="C167" s="1" t="s">
        <v>58</v>
      </c>
      <c r="D167" s="1" t="s">
        <v>50</v>
      </c>
      <c r="E167" s="1" t="s">
        <v>17</v>
      </c>
      <c r="F167" s="1" t="s">
        <v>22</v>
      </c>
      <c r="G167" s="1">
        <v>80</v>
      </c>
    </row>
    <row r="168" spans="1:7" x14ac:dyDescent="0.2">
      <c r="A168" s="1" t="s">
        <v>389</v>
      </c>
      <c r="B168" s="1" t="s">
        <v>41</v>
      </c>
      <c r="C168" s="1" t="s">
        <v>70</v>
      </c>
      <c r="D168" s="1" t="s">
        <v>33</v>
      </c>
      <c r="E168" s="1" t="s">
        <v>10</v>
      </c>
      <c r="F168" s="1" t="s">
        <v>19</v>
      </c>
      <c r="G168" s="1">
        <v>220</v>
      </c>
    </row>
    <row r="169" spans="1:7" x14ac:dyDescent="0.2">
      <c r="A169" s="1" t="s">
        <v>390</v>
      </c>
      <c r="B169" s="1" t="s">
        <v>14</v>
      </c>
      <c r="C169" s="1" t="s">
        <v>46</v>
      </c>
      <c r="D169" s="1" t="s">
        <v>93</v>
      </c>
      <c r="E169" s="1" t="s">
        <v>17</v>
      </c>
      <c r="F169" s="1" t="s">
        <v>48</v>
      </c>
      <c r="G169" s="1">
        <v>30</v>
      </c>
    </row>
    <row r="170" spans="1:7" x14ac:dyDescent="0.2">
      <c r="A170" s="1" t="s">
        <v>391</v>
      </c>
      <c r="B170" s="1" t="s">
        <v>7</v>
      </c>
      <c r="C170" s="1" t="s">
        <v>12</v>
      </c>
      <c r="D170" s="1" t="s">
        <v>36</v>
      </c>
      <c r="E170" s="1" t="s">
        <v>10</v>
      </c>
      <c r="F170" s="1" t="s">
        <v>19</v>
      </c>
      <c r="G170" s="1">
        <v>20</v>
      </c>
    </row>
    <row r="171" spans="1:7" x14ac:dyDescent="0.2">
      <c r="A171" s="1" t="s">
        <v>392</v>
      </c>
      <c r="B171" s="1" t="s">
        <v>41</v>
      </c>
      <c r="C171" s="1" t="s">
        <v>43</v>
      </c>
      <c r="D171" s="1" t="s">
        <v>50</v>
      </c>
      <c r="E171" s="1" t="s">
        <v>17</v>
      </c>
      <c r="F171" s="1" t="s">
        <v>22</v>
      </c>
      <c r="G171" s="1">
        <v>180</v>
      </c>
    </row>
    <row r="172" spans="1:7" x14ac:dyDescent="0.2">
      <c r="A172" s="1" t="s">
        <v>393</v>
      </c>
      <c r="B172" s="1" t="s">
        <v>41</v>
      </c>
      <c r="C172" s="1" t="s">
        <v>62</v>
      </c>
      <c r="D172" s="1" t="s">
        <v>45</v>
      </c>
      <c r="E172" s="1" t="s">
        <v>10</v>
      </c>
      <c r="F172" s="1" t="s">
        <v>11</v>
      </c>
      <c r="G172" s="1">
        <v>70</v>
      </c>
    </row>
    <row r="173" spans="1:7" x14ac:dyDescent="0.2">
      <c r="A173" s="1" t="s">
        <v>394</v>
      </c>
      <c r="B173" s="1" t="s">
        <v>28</v>
      </c>
      <c r="C173" s="1" t="s">
        <v>29</v>
      </c>
      <c r="D173" s="1" t="s">
        <v>69</v>
      </c>
      <c r="E173" s="1" t="s">
        <v>17</v>
      </c>
      <c r="F173" s="1" t="s">
        <v>11</v>
      </c>
      <c r="G173" s="1">
        <v>70</v>
      </c>
    </row>
    <row r="174" spans="1:7" x14ac:dyDescent="0.2">
      <c r="A174" s="1" t="s">
        <v>395</v>
      </c>
      <c r="B174" s="1" t="s">
        <v>14</v>
      </c>
      <c r="C174" s="1" t="s">
        <v>20</v>
      </c>
      <c r="D174" s="1" t="s">
        <v>85</v>
      </c>
      <c r="E174" s="1" t="s">
        <v>17</v>
      </c>
      <c r="F174" s="1" t="s">
        <v>24</v>
      </c>
      <c r="G174" s="1">
        <v>60</v>
      </c>
    </row>
    <row r="175" spans="1:7" x14ac:dyDescent="0.2">
      <c r="A175" s="1" t="s">
        <v>396</v>
      </c>
      <c r="B175" s="1" t="s">
        <v>14</v>
      </c>
      <c r="C175" s="1" t="s">
        <v>46</v>
      </c>
      <c r="D175" s="1" t="s">
        <v>23</v>
      </c>
      <c r="E175" s="1" t="s">
        <v>17</v>
      </c>
      <c r="F175" s="1" t="s">
        <v>24</v>
      </c>
      <c r="G175" s="1">
        <v>30</v>
      </c>
    </row>
    <row r="176" spans="1:7" x14ac:dyDescent="0.2">
      <c r="A176" s="1" t="s">
        <v>397</v>
      </c>
      <c r="B176" s="1" t="s">
        <v>7</v>
      </c>
      <c r="C176" s="1" t="s">
        <v>32</v>
      </c>
      <c r="D176" s="1" t="s">
        <v>94</v>
      </c>
      <c r="E176" s="1" t="s">
        <v>10</v>
      </c>
      <c r="F176" s="1" t="s">
        <v>27</v>
      </c>
      <c r="G176" s="1">
        <v>80</v>
      </c>
    </row>
    <row r="177" spans="1:7" x14ac:dyDescent="0.2">
      <c r="A177" s="1" t="s">
        <v>398</v>
      </c>
      <c r="B177" s="1" t="s">
        <v>37</v>
      </c>
      <c r="C177" s="1" t="s">
        <v>49</v>
      </c>
      <c r="D177" s="1" t="s">
        <v>9</v>
      </c>
      <c r="E177" s="1" t="s">
        <v>10</v>
      </c>
      <c r="F177" s="1" t="s">
        <v>11</v>
      </c>
      <c r="G177" s="1">
        <v>190</v>
      </c>
    </row>
    <row r="178" spans="1:7" x14ac:dyDescent="0.2">
      <c r="A178" s="1" t="s">
        <v>399</v>
      </c>
      <c r="B178" s="1" t="s">
        <v>28</v>
      </c>
      <c r="C178" s="1" t="s">
        <v>29</v>
      </c>
      <c r="D178" s="1" t="s">
        <v>52</v>
      </c>
      <c r="E178" s="1" t="s">
        <v>17</v>
      </c>
      <c r="F178" s="1" t="s">
        <v>11</v>
      </c>
      <c r="G178" s="1">
        <v>70</v>
      </c>
    </row>
    <row r="179" spans="1:7" x14ac:dyDescent="0.2">
      <c r="A179" s="1" t="s">
        <v>400</v>
      </c>
      <c r="B179" s="1" t="s">
        <v>28</v>
      </c>
      <c r="C179" s="1" t="s">
        <v>29</v>
      </c>
      <c r="D179" s="1" t="s">
        <v>45</v>
      </c>
      <c r="E179" s="1" t="s">
        <v>10</v>
      </c>
      <c r="F179" s="1" t="s">
        <v>11</v>
      </c>
      <c r="G179" s="1">
        <v>60</v>
      </c>
    </row>
    <row r="180" spans="1:7" x14ac:dyDescent="0.2">
      <c r="A180" s="1" t="s">
        <v>401</v>
      </c>
      <c r="B180" s="1" t="s">
        <v>14</v>
      </c>
      <c r="C180" s="1" t="s">
        <v>39</v>
      </c>
      <c r="D180" s="1" t="s">
        <v>60</v>
      </c>
      <c r="E180" s="1" t="s">
        <v>17</v>
      </c>
      <c r="F180" s="1" t="s">
        <v>11</v>
      </c>
      <c r="G180" s="1">
        <v>50</v>
      </c>
    </row>
    <row r="181" spans="1:7" x14ac:dyDescent="0.2">
      <c r="A181" s="1" t="s">
        <v>402</v>
      </c>
      <c r="B181" s="1" t="s">
        <v>7</v>
      </c>
      <c r="C181" s="1" t="s">
        <v>8</v>
      </c>
      <c r="D181" s="1" t="s">
        <v>63</v>
      </c>
      <c r="E181" s="1" t="s">
        <v>17</v>
      </c>
      <c r="F181" s="1" t="s">
        <v>11</v>
      </c>
      <c r="G181" s="1">
        <v>80</v>
      </c>
    </row>
    <row r="182" spans="1:7" x14ac:dyDescent="0.2">
      <c r="A182" s="1" t="s">
        <v>403</v>
      </c>
      <c r="B182" s="1" t="s">
        <v>7</v>
      </c>
      <c r="C182" s="1" t="s">
        <v>12</v>
      </c>
      <c r="D182" s="1" t="s">
        <v>95</v>
      </c>
      <c r="E182" s="1" t="s">
        <v>17</v>
      </c>
      <c r="F182" s="1" t="s">
        <v>27</v>
      </c>
      <c r="G182" s="1">
        <v>30</v>
      </c>
    </row>
    <row r="183" spans="1:7" x14ac:dyDescent="0.2">
      <c r="A183" s="1" t="s">
        <v>404</v>
      </c>
      <c r="B183" s="1" t="s">
        <v>7</v>
      </c>
      <c r="C183" s="1" t="s">
        <v>8</v>
      </c>
      <c r="D183" s="1" t="s">
        <v>51</v>
      </c>
      <c r="E183" s="1" t="s">
        <v>17</v>
      </c>
      <c r="F183" s="1" t="s">
        <v>24</v>
      </c>
      <c r="G183" s="1">
        <v>80</v>
      </c>
    </row>
    <row r="184" spans="1:7" x14ac:dyDescent="0.2">
      <c r="A184" s="1" t="s">
        <v>405</v>
      </c>
      <c r="B184" s="1" t="s">
        <v>7</v>
      </c>
      <c r="C184" s="1" t="s">
        <v>8</v>
      </c>
      <c r="D184" s="1" t="s">
        <v>66</v>
      </c>
      <c r="E184" s="1" t="s">
        <v>10</v>
      </c>
      <c r="F184" s="1" t="s">
        <v>22</v>
      </c>
      <c r="G184" s="1">
        <v>90</v>
      </c>
    </row>
    <row r="185" spans="1:7" x14ac:dyDescent="0.2">
      <c r="A185" s="1" t="s">
        <v>406</v>
      </c>
      <c r="B185" s="1" t="s">
        <v>14</v>
      </c>
      <c r="C185" s="1" t="s">
        <v>39</v>
      </c>
      <c r="D185" s="1" t="s">
        <v>33</v>
      </c>
      <c r="E185" s="1" t="s">
        <v>10</v>
      </c>
      <c r="F185" s="1" t="s">
        <v>19</v>
      </c>
      <c r="G185" s="1">
        <v>60</v>
      </c>
    </row>
    <row r="186" spans="1:7" x14ac:dyDescent="0.2">
      <c r="A186" s="1" t="s">
        <v>407</v>
      </c>
      <c r="B186" s="1" t="s">
        <v>28</v>
      </c>
      <c r="C186" s="1" t="s">
        <v>58</v>
      </c>
      <c r="D186" s="1" t="s">
        <v>35</v>
      </c>
      <c r="E186" s="1" t="s">
        <v>10</v>
      </c>
      <c r="F186" s="1" t="s">
        <v>27</v>
      </c>
      <c r="G186" s="1">
        <v>80</v>
      </c>
    </row>
    <row r="187" spans="1:7" x14ac:dyDescent="0.2">
      <c r="A187" s="1" t="s">
        <v>408</v>
      </c>
      <c r="B187" s="1" t="s">
        <v>14</v>
      </c>
      <c r="C187" s="1" t="s">
        <v>46</v>
      </c>
      <c r="D187" s="1" t="s">
        <v>71</v>
      </c>
      <c r="E187" s="1" t="s">
        <v>17</v>
      </c>
      <c r="F187" s="1" t="s">
        <v>11</v>
      </c>
      <c r="G187" s="1">
        <v>20</v>
      </c>
    </row>
    <row r="188" spans="1:7" x14ac:dyDescent="0.2">
      <c r="A188" s="1" t="s">
        <v>409</v>
      </c>
      <c r="B188" s="1" t="s">
        <v>7</v>
      </c>
      <c r="C188" s="1" t="s">
        <v>32</v>
      </c>
      <c r="D188" s="1" t="s">
        <v>35</v>
      </c>
      <c r="E188" s="1" t="s">
        <v>10</v>
      </c>
      <c r="F188" s="1" t="s">
        <v>27</v>
      </c>
      <c r="G188" s="1">
        <v>80</v>
      </c>
    </row>
    <row r="189" spans="1:7" x14ac:dyDescent="0.2">
      <c r="A189" s="1" t="s">
        <v>410</v>
      </c>
      <c r="B189" s="1" t="s">
        <v>28</v>
      </c>
      <c r="C189" s="1" t="s">
        <v>29</v>
      </c>
      <c r="D189" s="1" t="s">
        <v>60</v>
      </c>
      <c r="E189" s="1" t="s">
        <v>17</v>
      </c>
      <c r="F189" s="1" t="s">
        <v>11</v>
      </c>
      <c r="G189" s="1">
        <v>60</v>
      </c>
    </row>
    <row r="190" spans="1:7" x14ac:dyDescent="0.2">
      <c r="A190" s="1" t="s">
        <v>411</v>
      </c>
      <c r="B190" s="1" t="s">
        <v>7</v>
      </c>
      <c r="C190" s="1" t="s">
        <v>32</v>
      </c>
      <c r="D190" s="1" t="s">
        <v>92</v>
      </c>
      <c r="E190" s="1" t="s">
        <v>17</v>
      </c>
      <c r="F190" s="1" t="s">
        <v>65</v>
      </c>
      <c r="G190" s="1">
        <v>90</v>
      </c>
    </row>
    <row r="191" spans="1:7" x14ac:dyDescent="0.2">
      <c r="A191" s="1" t="s">
        <v>412</v>
      </c>
      <c r="B191" s="1" t="s">
        <v>37</v>
      </c>
      <c r="C191" s="1" t="s">
        <v>59</v>
      </c>
      <c r="D191" s="1" t="s">
        <v>45</v>
      </c>
      <c r="E191" s="1" t="s">
        <v>10</v>
      </c>
      <c r="F191" s="1" t="s">
        <v>11</v>
      </c>
      <c r="G191" s="1">
        <v>210</v>
      </c>
    </row>
    <row r="192" spans="1:7" x14ac:dyDescent="0.2">
      <c r="A192" s="1" t="s">
        <v>413</v>
      </c>
      <c r="B192" s="1" t="s">
        <v>96</v>
      </c>
      <c r="C192" s="1" t="s">
        <v>97</v>
      </c>
      <c r="D192" s="1" t="s">
        <v>67</v>
      </c>
      <c r="E192" s="1" t="s">
        <v>17</v>
      </c>
      <c r="F192" s="1" t="s">
        <v>19</v>
      </c>
      <c r="G192">
        <v>230</v>
      </c>
    </row>
    <row r="193" spans="1:7" x14ac:dyDescent="0.2">
      <c r="A193" s="1" t="s">
        <v>414</v>
      </c>
      <c r="B193" s="1" t="s">
        <v>7</v>
      </c>
      <c r="C193" s="1" t="s">
        <v>25</v>
      </c>
      <c r="D193" s="1" t="s">
        <v>85</v>
      </c>
      <c r="E193" s="1" t="s">
        <v>17</v>
      </c>
      <c r="F193" s="1" t="s">
        <v>24</v>
      </c>
      <c r="G193" s="1">
        <v>70</v>
      </c>
    </row>
    <row r="194" spans="1:7" x14ac:dyDescent="0.2">
      <c r="A194" s="1" t="s">
        <v>415</v>
      </c>
      <c r="B194" s="1" t="s">
        <v>7</v>
      </c>
      <c r="C194" s="1" t="s">
        <v>8</v>
      </c>
      <c r="D194" s="1" t="s">
        <v>52</v>
      </c>
      <c r="E194" s="1" t="s">
        <v>17</v>
      </c>
      <c r="F194" s="1" t="s">
        <v>11</v>
      </c>
      <c r="G194" s="1">
        <v>80</v>
      </c>
    </row>
    <row r="195" spans="1:7" x14ac:dyDescent="0.2">
      <c r="A195" s="1" t="s">
        <v>416</v>
      </c>
      <c r="B195" s="1" t="s">
        <v>7</v>
      </c>
      <c r="C195" s="1" t="s">
        <v>12</v>
      </c>
      <c r="D195" s="1" t="s">
        <v>98</v>
      </c>
      <c r="E195" s="1" t="s">
        <v>17</v>
      </c>
      <c r="F195" s="1" t="s">
        <v>27</v>
      </c>
      <c r="G195" s="1">
        <v>30</v>
      </c>
    </row>
    <row r="196" spans="1:7" x14ac:dyDescent="0.2">
      <c r="A196" s="1" t="s">
        <v>417</v>
      </c>
      <c r="B196" s="1" t="s">
        <v>41</v>
      </c>
      <c r="C196" s="1" t="s">
        <v>42</v>
      </c>
      <c r="D196" s="1" t="s">
        <v>23</v>
      </c>
      <c r="E196" s="1" t="s">
        <v>17</v>
      </c>
      <c r="F196" s="1" t="s">
        <v>24</v>
      </c>
      <c r="G196" s="1">
        <v>70</v>
      </c>
    </row>
    <row r="197" spans="1:7" x14ac:dyDescent="0.2">
      <c r="A197" s="1" t="s">
        <v>418</v>
      </c>
      <c r="B197" s="1" t="s">
        <v>14</v>
      </c>
      <c r="C197" s="1" t="s">
        <v>20</v>
      </c>
      <c r="D197" s="1" t="s">
        <v>40</v>
      </c>
      <c r="E197" s="1" t="s">
        <v>17</v>
      </c>
      <c r="F197" s="1" t="s">
        <v>27</v>
      </c>
      <c r="G197" s="1">
        <v>70</v>
      </c>
    </row>
    <row r="198" spans="1:7" x14ac:dyDescent="0.2">
      <c r="A198" s="1" t="s">
        <v>419</v>
      </c>
      <c r="B198" s="1" t="s">
        <v>41</v>
      </c>
      <c r="C198" s="1" t="s">
        <v>72</v>
      </c>
      <c r="D198" s="1" t="s">
        <v>93</v>
      </c>
      <c r="E198" s="1" t="s">
        <v>17</v>
      </c>
      <c r="F198" s="1" t="s">
        <v>48</v>
      </c>
      <c r="G198" s="1">
        <v>110</v>
      </c>
    </row>
    <row r="199" spans="1:7" x14ac:dyDescent="0.2">
      <c r="A199" s="1" t="s">
        <v>420</v>
      </c>
      <c r="B199" s="1" t="s">
        <v>41</v>
      </c>
      <c r="C199" s="1" t="s">
        <v>72</v>
      </c>
      <c r="D199" s="1" t="s">
        <v>63</v>
      </c>
      <c r="E199" s="1" t="s">
        <v>17</v>
      </c>
      <c r="F199" s="1" t="s">
        <v>11</v>
      </c>
      <c r="G199" s="1">
        <v>110</v>
      </c>
    </row>
    <row r="200" spans="1:7" x14ac:dyDescent="0.2">
      <c r="A200" s="1" t="s">
        <v>421</v>
      </c>
      <c r="B200" s="1" t="s">
        <v>14</v>
      </c>
      <c r="C200" s="1" t="s">
        <v>20</v>
      </c>
      <c r="D200" s="1" t="s">
        <v>60</v>
      </c>
      <c r="E200" s="1" t="s">
        <v>17</v>
      </c>
      <c r="F200" s="1" t="s">
        <v>11</v>
      </c>
      <c r="G200" s="1">
        <v>70</v>
      </c>
    </row>
    <row r="201" spans="1:7" x14ac:dyDescent="0.2">
      <c r="A201" s="1" t="s">
        <v>422</v>
      </c>
      <c r="B201" s="1" t="s">
        <v>41</v>
      </c>
      <c r="C201" s="1" t="s">
        <v>43</v>
      </c>
      <c r="D201" s="1" t="s">
        <v>44</v>
      </c>
      <c r="E201" s="1" t="s">
        <v>17</v>
      </c>
      <c r="F201" s="1" t="s">
        <v>24</v>
      </c>
      <c r="G201" s="1">
        <v>190</v>
      </c>
    </row>
    <row r="202" spans="1:7" x14ac:dyDescent="0.2">
      <c r="A202" s="1" t="s">
        <v>423</v>
      </c>
      <c r="B202" s="1" t="s">
        <v>14</v>
      </c>
      <c r="C202" s="1" t="s">
        <v>39</v>
      </c>
      <c r="D202" s="1" t="s">
        <v>85</v>
      </c>
      <c r="E202" s="1" t="s">
        <v>17</v>
      </c>
      <c r="F202" s="1" t="s">
        <v>24</v>
      </c>
      <c r="G202" s="1">
        <v>60</v>
      </c>
    </row>
    <row r="203" spans="1:7" x14ac:dyDescent="0.2">
      <c r="A203" s="1" t="s">
        <v>424</v>
      </c>
      <c r="B203" s="1" t="s">
        <v>37</v>
      </c>
      <c r="C203" s="1" t="s">
        <v>38</v>
      </c>
      <c r="D203" s="1" t="s">
        <v>33</v>
      </c>
      <c r="E203" s="1" t="s">
        <v>10</v>
      </c>
      <c r="F203" s="1" t="s">
        <v>19</v>
      </c>
      <c r="G203" s="1">
        <v>110</v>
      </c>
    </row>
    <row r="204" spans="1:7" x14ac:dyDescent="0.2">
      <c r="A204" s="1" t="s">
        <v>425</v>
      </c>
      <c r="B204" s="1" t="s">
        <v>41</v>
      </c>
      <c r="C204" s="1" t="s">
        <v>62</v>
      </c>
      <c r="D204" s="1" t="s">
        <v>64</v>
      </c>
      <c r="E204" s="1" t="s">
        <v>17</v>
      </c>
      <c r="F204" s="1" t="s">
        <v>65</v>
      </c>
      <c r="G204" s="1">
        <v>80</v>
      </c>
    </row>
    <row r="205" spans="1:7" x14ac:dyDescent="0.2">
      <c r="A205" s="1" t="s">
        <v>426</v>
      </c>
      <c r="B205" s="1" t="s">
        <v>7</v>
      </c>
      <c r="C205" s="1" t="s">
        <v>12</v>
      </c>
      <c r="D205" s="1" t="s">
        <v>21</v>
      </c>
      <c r="E205" s="1" t="s">
        <v>17</v>
      </c>
      <c r="F205" s="1" t="s">
        <v>22</v>
      </c>
      <c r="G205" s="1">
        <v>30</v>
      </c>
    </row>
    <row r="206" spans="1:7" x14ac:dyDescent="0.2">
      <c r="A206" s="1" t="s">
        <v>427</v>
      </c>
      <c r="B206" s="1" t="s">
        <v>37</v>
      </c>
      <c r="C206" s="1" t="s">
        <v>59</v>
      </c>
      <c r="D206" s="1" t="s">
        <v>71</v>
      </c>
      <c r="E206" s="1" t="s">
        <v>17</v>
      </c>
      <c r="F206" s="1" t="s">
        <v>11</v>
      </c>
      <c r="G206" s="1">
        <v>220</v>
      </c>
    </row>
    <row r="207" spans="1:7" x14ac:dyDescent="0.2">
      <c r="A207" s="1" t="s">
        <v>428</v>
      </c>
      <c r="B207" s="1" t="s">
        <v>28</v>
      </c>
      <c r="C207" s="1" t="s">
        <v>34</v>
      </c>
      <c r="D207" s="1" t="s">
        <v>89</v>
      </c>
      <c r="E207" s="1" t="s">
        <v>17</v>
      </c>
      <c r="F207" s="1" t="s">
        <v>11</v>
      </c>
      <c r="G207" s="1">
        <v>280</v>
      </c>
    </row>
    <row r="208" spans="1:7" x14ac:dyDescent="0.2">
      <c r="A208" s="1" t="s">
        <v>429</v>
      </c>
      <c r="B208" s="1" t="s">
        <v>28</v>
      </c>
      <c r="C208" s="1" t="s">
        <v>34</v>
      </c>
      <c r="D208" s="1" t="s">
        <v>99</v>
      </c>
      <c r="E208" s="1" t="s">
        <v>17</v>
      </c>
      <c r="F208" s="1" t="s">
        <v>11</v>
      </c>
      <c r="G208" s="1">
        <v>270</v>
      </c>
    </row>
    <row r="209" spans="1:7" x14ac:dyDescent="0.2">
      <c r="A209" s="1" t="s">
        <v>430</v>
      </c>
      <c r="B209" s="1" t="s">
        <v>41</v>
      </c>
      <c r="C209" s="1" t="s">
        <v>43</v>
      </c>
      <c r="D209" s="1" t="s">
        <v>40</v>
      </c>
      <c r="E209" s="1" t="s">
        <v>17</v>
      </c>
      <c r="F209" s="1" t="s">
        <v>27</v>
      </c>
      <c r="G209" s="1">
        <v>180</v>
      </c>
    </row>
    <row r="210" spans="1:7" x14ac:dyDescent="0.2">
      <c r="A210" s="1" t="s">
        <v>431</v>
      </c>
      <c r="B210" s="1" t="s">
        <v>7</v>
      </c>
      <c r="C210" s="1" t="s">
        <v>25</v>
      </c>
      <c r="D210" s="1" t="s">
        <v>16</v>
      </c>
      <c r="E210" s="1" t="s">
        <v>17</v>
      </c>
      <c r="F210" s="1" t="s">
        <v>11</v>
      </c>
      <c r="G210" s="1">
        <v>60</v>
      </c>
    </row>
    <row r="211" spans="1:7" x14ac:dyDescent="0.2">
      <c r="A211" s="1" t="s">
        <v>432</v>
      </c>
      <c r="B211" s="1" t="s">
        <v>7</v>
      </c>
      <c r="C211" s="1" t="s">
        <v>32</v>
      </c>
      <c r="D211" s="1" t="s">
        <v>89</v>
      </c>
      <c r="E211" s="1" t="s">
        <v>17</v>
      </c>
      <c r="F211" s="1" t="s">
        <v>11</v>
      </c>
      <c r="G211" s="1">
        <v>90</v>
      </c>
    </row>
    <row r="212" spans="1:7" x14ac:dyDescent="0.2">
      <c r="A212" s="1" t="s">
        <v>433</v>
      </c>
      <c r="B212" s="1" t="s">
        <v>28</v>
      </c>
      <c r="C212" s="1" t="s">
        <v>58</v>
      </c>
      <c r="D212" s="1" t="s">
        <v>18</v>
      </c>
      <c r="E212" s="1" t="s">
        <v>17</v>
      </c>
      <c r="F212" s="1" t="s">
        <v>19</v>
      </c>
      <c r="G212" s="1">
        <v>80</v>
      </c>
    </row>
    <row r="213" spans="1:7" x14ac:dyDescent="0.2">
      <c r="A213" s="1" t="s">
        <v>434</v>
      </c>
      <c r="B213" s="1" t="s">
        <v>79</v>
      </c>
      <c r="C213" s="1" t="s">
        <v>80</v>
      </c>
      <c r="D213" s="1" t="s">
        <v>67</v>
      </c>
      <c r="E213" s="1" t="s">
        <v>17</v>
      </c>
      <c r="F213" s="1" t="s">
        <v>19</v>
      </c>
      <c r="G213" s="1">
        <v>170</v>
      </c>
    </row>
    <row r="214" spans="1:7" x14ac:dyDescent="0.2">
      <c r="A214" s="1" t="s">
        <v>435</v>
      </c>
      <c r="B214" s="1" t="s">
        <v>28</v>
      </c>
      <c r="C214" s="1" t="s">
        <v>29</v>
      </c>
      <c r="D214" s="1" t="s">
        <v>81</v>
      </c>
      <c r="E214" s="1" t="s">
        <v>17</v>
      </c>
      <c r="F214" s="1" t="s">
        <v>27</v>
      </c>
      <c r="G214" s="1">
        <v>70</v>
      </c>
    </row>
    <row r="215" spans="1:7" x14ac:dyDescent="0.2">
      <c r="A215" s="1" t="s">
        <v>436</v>
      </c>
      <c r="B215" s="1" t="s">
        <v>41</v>
      </c>
      <c r="C215" s="1" t="s">
        <v>42</v>
      </c>
      <c r="D215" s="1" t="s">
        <v>13</v>
      </c>
      <c r="E215" s="1" t="s">
        <v>10</v>
      </c>
      <c r="F215" s="1" t="s">
        <v>11</v>
      </c>
      <c r="G215" s="1">
        <v>70</v>
      </c>
    </row>
    <row r="216" spans="1:7" x14ac:dyDescent="0.2">
      <c r="A216" s="1" t="s">
        <v>437</v>
      </c>
      <c r="B216" s="1" t="s">
        <v>37</v>
      </c>
      <c r="C216" s="1" t="s">
        <v>59</v>
      </c>
      <c r="D216" s="1" t="s">
        <v>53</v>
      </c>
      <c r="E216" s="1" t="s">
        <v>10</v>
      </c>
      <c r="F216" s="1" t="s">
        <v>19</v>
      </c>
      <c r="G216" s="1">
        <v>220</v>
      </c>
    </row>
    <row r="217" spans="1:7" x14ac:dyDescent="0.2">
      <c r="A217" s="1" t="s">
        <v>438</v>
      </c>
      <c r="B217" s="1" t="s">
        <v>41</v>
      </c>
      <c r="C217" s="1" t="s">
        <v>62</v>
      </c>
      <c r="D217" s="1" t="s">
        <v>53</v>
      </c>
      <c r="E217" s="1" t="s">
        <v>10</v>
      </c>
      <c r="F217" s="1" t="s">
        <v>19</v>
      </c>
      <c r="G217" s="1">
        <v>80</v>
      </c>
    </row>
    <row r="218" spans="1:7" x14ac:dyDescent="0.2">
      <c r="A218" s="1" t="s">
        <v>439</v>
      </c>
      <c r="B218" s="1" t="s">
        <v>14</v>
      </c>
      <c r="C218" s="1" t="s">
        <v>20</v>
      </c>
      <c r="D218" s="1" t="s">
        <v>56</v>
      </c>
      <c r="E218" s="1" t="s">
        <v>17</v>
      </c>
      <c r="F218" s="1" t="s">
        <v>24</v>
      </c>
      <c r="G218" s="1">
        <v>70</v>
      </c>
    </row>
    <row r="219" spans="1:7" x14ac:dyDescent="0.2">
      <c r="A219" s="1" t="s">
        <v>440</v>
      </c>
      <c r="B219" s="1" t="s">
        <v>14</v>
      </c>
      <c r="C219" s="1" t="s">
        <v>15</v>
      </c>
      <c r="D219" s="1" t="s">
        <v>63</v>
      </c>
      <c r="E219" s="1" t="s">
        <v>17</v>
      </c>
      <c r="F219" s="1" t="s">
        <v>11</v>
      </c>
      <c r="G219" s="1">
        <v>130</v>
      </c>
    </row>
    <row r="220" spans="1:7" x14ac:dyDescent="0.2">
      <c r="A220" s="1" t="s">
        <v>441</v>
      </c>
      <c r="B220" s="1" t="s">
        <v>14</v>
      </c>
      <c r="C220" s="1" t="s">
        <v>46</v>
      </c>
      <c r="D220" s="1" t="s">
        <v>45</v>
      </c>
      <c r="E220" s="1" t="s">
        <v>10</v>
      </c>
      <c r="F220" s="1" t="s">
        <v>11</v>
      </c>
      <c r="G220" s="1">
        <v>20</v>
      </c>
    </row>
    <row r="221" spans="1:7" x14ac:dyDescent="0.2">
      <c r="A221" s="1" t="s">
        <v>442</v>
      </c>
      <c r="B221" s="1" t="s">
        <v>7</v>
      </c>
      <c r="C221" s="1" t="s">
        <v>12</v>
      </c>
      <c r="D221" s="1" t="s">
        <v>40</v>
      </c>
      <c r="E221" s="1" t="s">
        <v>17</v>
      </c>
      <c r="F221" s="1" t="s">
        <v>27</v>
      </c>
      <c r="G221" s="1">
        <v>20</v>
      </c>
    </row>
    <row r="222" spans="1:7" x14ac:dyDescent="0.2">
      <c r="A222" s="1" t="s">
        <v>443</v>
      </c>
      <c r="B222" s="1" t="s">
        <v>7</v>
      </c>
      <c r="C222" s="1" t="s">
        <v>25</v>
      </c>
      <c r="D222" s="1" t="s">
        <v>40</v>
      </c>
      <c r="E222" s="1" t="s">
        <v>17</v>
      </c>
      <c r="F222" s="1" t="s">
        <v>27</v>
      </c>
      <c r="G222" s="1">
        <v>60</v>
      </c>
    </row>
    <row r="223" spans="1:7" x14ac:dyDescent="0.2">
      <c r="A223" s="1" t="s">
        <v>444</v>
      </c>
      <c r="B223" s="1" t="s">
        <v>37</v>
      </c>
      <c r="C223" s="1" t="s">
        <v>59</v>
      </c>
      <c r="D223" s="1" t="s">
        <v>51</v>
      </c>
      <c r="E223" s="1" t="s">
        <v>17</v>
      </c>
      <c r="F223" s="1" t="s">
        <v>24</v>
      </c>
      <c r="G223" s="1">
        <v>210</v>
      </c>
    </row>
    <row r="224" spans="1:7" x14ac:dyDescent="0.2">
      <c r="A224" s="1" t="s">
        <v>445</v>
      </c>
      <c r="B224" s="1" t="s">
        <v>14</v>
      </c>
      <c r="C224" s="1" t="s">
        <v>46</v>
      </c>
      <c r="D224" s="1" t="s">
        <v>100</v>
      </c>
      <c r="E224" s="1" t="s">
        <v>17</v>
      </c>
      <c r="F224" s="1" t="s">
        <v>22</v>
      </c>
      <c r="G224" s="1">
        <v>20</v>
      </c>
    </row>
    <row r="225" spans="1:7" x14ac:dyDescent="0.2">
      <c r="A225" s="1" t="s">
        <v>446</v>
      </c>
      <c r="B225" s="1" t="s">
        <v>7</v>
      </c>
      <c r="C225" s="1" t="s">
        <v>25</v>
      </c>
      <c r="D225" s="1" t="s">
        <v>71</v>
      </c>
      <c r="E225" s="1" t="s">
        <v>17</v>
      </c>
      <c r="F225" s="1" t="s">
        <v>11</v>
      </c>
      <c r="G225" s="1">
        <v>60</v>
      </c>
    </row>
    <row r="226" spans="1:7" x14ac:dyDescent="0.2">
      <c r="A226" s="1" t="s">
        <v>447</v>
      </c>
      <c r="B226" s="1" t="s">
        <v>41</v>
      </c>
      <c r="C226" s="1" t="s">
        <v>62</v>
      </c>
      <c r="D226" s="1" t="s">
        <v>50</v>
      </c>
      <c r="E226" s="1" t="s">
        <v>17</v>
      </c>
      <c r="F226" s="1" t="s">
        <v>22</v>
      </c>
      <c r="G226" s="1">
        <v>70</v>
      </c>
    </row>
    <row r="227" spans="1:7" x14ac:dyDescent="0.2">
      <c r="A227" s="1" t="s">
        <v>448</v>
      </c>
      <c r="B227" s="1" t="s">
        <v>7</v>
      </c>
      <c r="C227" s="1" t="s">
        <v>8</v>
      </c>
      <c r="D227" s="1" t="s">
        <v>18</v>
      </c>
      <c r="E227" s="1" t="s">
        <v>17</v>
      </c>
      <c r="F227" s="1" t="s">
        <v>19</v>
      </c>
      <c r="G227" s="1">
        <v>80</v>
      </c>
    </row>
    <row r="228" spans="1:7" x14ac:dyDescent="0.2">
      <c r="A228" s="1" t="s">
        <v>449</v>
      </c>
      <c r="B228" s="1" t="s">
        <v>28</v>
      </c>
      <c r="C228" s="1" t="s">
        <v>58</v>
      </c>
      <c r="D228" s="1" t="s">
        <v>36</v>
      </c>
      <c r="E228" s="1" t="s">
        <v>10</v>
      </c>
      <c r="F228" s="1" t="s">
        <v>19</v>
      </c>
      <c r="G228" s="1">
        <v>90</v>
      </c>
    </row>
    <row r="229" spans="1:7" x14ac:dyDescent="0.2">
      <c r="A229" s="1" t="s">
        <v>450</v>
      </c>
      <c r="B229" s="1" t="s">
        <v>7</v>
      </c>
      <c r="C229" s="1" t="s">
        <v>8</v>
      </c>
      <c r="D229" s="1" t="s">
        <v>45</v>
      </c>
      <c r="E229" s="1" t="s">
        <v>10</v>
      </c>
      <c r="F229" s="1" t="s">
        <v>11</v>
      </c>
      <c r="G229" s="1">
        <v>90</v>
      </c>
    </row>
    <row r="230" spans="1:7" x14ac:dyDescent="0.2">
      <c r="A230" s="1" t="s">
        <v>451</v>
      </c>
      <c r="B230" s="1" t="s">
        <v>14</v>
      </c>
      <c r="C230" s="1" t="s">
        <v>20</v>
      </c>
      <c r="D230" s="1" t="s">
        <v>71</v>
      </c>
      <c r="E230" s="1" t="s">
        <v>17</v>
      </c>
      <c r="F230" s="1" t="s">
        <v>11</v>
      </c>
      <c r="G230" s="1">
        <v>60</v>
      </c>
    </row>
    <row r="231" spans="1:7" x14ac:dyDescent="0.2">
      <c r="A231" s="1" t="s">
        <v>452</v>
      </c>
      <c r="B231" s="1" t="s">
        <v>41</v>
      </c>
      <c r="C231" s="1" t="s">
        <v>55</v>
      </c>
      <c r="D231" s="1" t="s">
        <v>64</v>
      </c>
      <c r="E231" s="1" t="s">
        <v>17</v>
      </c>
      <c r="F231" s="1" t="s">
        <v>65</v>
      </c>
      <c r="G231" s="1">
        <v>100</v>
      </c>
    </row>
    <row r="232" spans="1:7" x14ac:dyDescent="0.2">
      <c r="A232" s="1" t="s">
        <v>453</v>
      </c>
      <c r="B232" s="1" t="s">
        <v>7</v>
      </c>
      <c r="C232" s="1" t="s">
        <v>12</v>
      </c>
      <c r="D232" s="1" t="s">
        <v>73</v>
      </c>
      <c r="E232" s="1" t="s">
        <v>17</v>
      </c>
      <c r="F232" s="1" t="s">
        <v>19</v>
      </c>
      <c r="G232" s="1">
        <v>30</v>
      </c>
    </row>
    <row r="233" spans="1:7" x14ac:dyDescent="0.2">
      <c r="A233" s="1" t="s">
        <v>454</v>
      </c>
      <c r="B233" s="1" t="s">
        <v>7</v>
      </c>
      <c r="C233" s="1" t="s">
        <v>25</v>
      </c>
      <c r="D233" s="1" t="s">
        <v>90</v>
      </c>
      <c r="E233" s="1" t="s">
        <v>10</v>
      </c>
      <c r="F233" s="1" t="s">
        <v>22</v>
      </c>
      <c r="G233" s="1">
        <v>70</v>
      </c>
    </row>
    <row r="234" spans="1:7" x14ac:dyDescent="0.2">
      <c r="A234" s="1" t="s">
        <v>455</v>
      </c>
      <c r="B234" s="1" t="s">
        <v>14</v>
      </c>
      <c r="C234" s="1" t="s">
        <v>20</v>
      </c>
      <c r="D234" s="1" t="s">
        <v>13</v>
      </c>
      <c r="E234" s="1" t="s">
        <v>10</v>
      </c>
      <c r="F234" s="1" t="s">
        <v>11</v>
      </c>
      <c r="G234" s="1">
        <v>70</v>
      </c>
    </row>
    <row r="235" spans="1:7" x14ac:dyDescent="0.2">
      <c r="A235" s="1" t="s">
        <v>456</v>
      </c>
      <c r="B235" s="1" t="s">
        <v>37</v>
      </c>
      <c r="C235" s="1" t="s">
        <v>59</v>
      </c>
      <c r="D235" s="1" t="s">
        <v>36</v>
      </c>
      <c r="E235" s="1" t="s">
        <v>10</v>
      </c>
      <c r="F235" s="1" t="s">
        <v>19</v>
      </c>
      <c r="G235" s="1">
        <v>210</v>
      </c>
    </row>
    <row r="236" spans="1:7" x14ac:dyDescent="0.2">
      <c r="A236" s="1" t="s">
        <v>457</v>
      </c>
      <c r="B236" s="1" t="s">
        <v>7</v>
      </c>
      <c r="C236" s="1" t="s">
        <v>25</v>
      </c>
      <c r="D236" s="1" t="s">
        <v>100</v>
      </c>
      <c r="E236" s="1" t="s">
        <v>17</v>
      </c>
      <c r="F236" s="1" t="s">
        <v>22</v>
      </c>
      <c r="G236" s="1">
        <v>70</v>
      </c>
    </row>
    <row r="237" spans="1:7" x14ac:dyDescent="0.2">
      <c r="A237" s="1" t="s">
        <v>458</v>
      </c>
      <c r="B237" s="1" t="s">
        <v>28</v>
      </c>
      <c r="C237" s="1" t="s">
        <v>58</v>
      </c>
      <c r="D237" s="1" t="s">
        <v>44</v>
      </c>
      <c r="E237" s="1" t="s">
        <v>17</v>
      </c>
      <c r="F237" s="1" t="s">
        <v>24</v>
      </c>
      <c r="G237" s="1">
        <v>80</v>
      </c>
    </row>
    <row r="238" spans="1:7" x14ac:dyDescent="0.2">
      <c r="A238" s="1" t="s">
        <v>459</v>
      </c>
      <c r="B238" s="1" t="s">
        <v>41</v>
      </c>
      <c r="C238" s="1" t="s">
        <v>62</v>
      </c>
      <c r="D238" s="1" t="s">
        <v>9</v>
      </c>
      <c r="E238" s="1" t="s">
        <v>10</v>
      </c>
      <c r="F238" s="1" t="s">
        <v>11</v>
      </c>
      <c r="G238" s="1">
        <v>70</v>
      </c>
    </row>
    <row r="239" spans="1:7" x14ac:dyDescent="0.2">
      <c r="A239" s="1" t="s">
        <v>460</v>
      </c>
      <c r="B239" s="1" t="s">
        <v>37</v>
      </c>
      <c r="C239" s="1" t="s">
        <v>49</v>
      </c>
      <c r="D239" s="1" t="s">
        <v>16</v>
      </c>
      <c r="E239" s="1" t="s">
        <v>17</v>
      </c>
      <c r="F239" s="1" t="s">
        <v>11</v>
      </c>
      <c r="G239" s="1">
        <v>180</v>
      </c>
    </row>
    <row r="240" spans="1:7" x14ac:dyDescent="0.2">
      <c r="A240" s="1" t="s">
        <v>461</v>
      </c>
      <c r="B240" s="1" t="s">
        <v>41</v>
      </c>
      <c r="C240" s="1" t="s">
        <v>43</v>
      </c>
      <c r="D240" s="1" t="s">
        <v>85</v>
      </c>
      <c r="E240" s="1" t="s">
        <v>17</v>
      </c>
      <c r="F240" s="1" t="s">
        <v>24</v>
      </c>
      <c r="G240" s="1">
        <v>180</v>
      </c>
    </row>
    <row r="241" spans="1:7" x14ac:dyDescent="0.2">
      <c r="A241" s="1" t="s">
        <v>462</v>
      </c>
      <c r="B241" s="1" t="s">
        <v>41</v>
      </c>
      <c r="C241" s="1" t="s">
        <v>55</v>
      </c>
      <c r="D241" s="1" t="s">
        <v>36</v>
      </c>
      <c r="E241" s="1" t="s">
        <v>10</v>
      </c>
      <c r="F241" s="1" t="s">
        <v>19</v>
      </c>
      <c r="G241" s="1">
        <v>90</v>
      </c>
    </row>
    <row r="242" spans="1:7" x14ac:dyDescent="0.2">
      <c r="A242" s="1" t="s">
        <v>463</v>
      </c>
      <c r="B242" s="1" t="s">
        <v>28</v>
      </c>
      <c r="C242" s="1" t="s">
        <v>34</v>
      </c>
      <c r="D242" s="1" t="s">
        <v>87</v>
      </c>
      <c r="E242" s="1" t="s">
        <v>17</v>
      </c>
      <c r="F242" s="1" t="s">
        <v>27</v>
      </c>
      <c r="G242" s="1">
        <v>270</v>
      </c>
    </row>
    <row r="243" spans="1:7" x14ac:dyDescent="0.2">
      <c r="A243" s="1" t="s">
        <v>464</v>
      </c>
      <c r="B243" s="1" t="s">
        <v>14</v>
      </c>
      <c r="C243" s="1" t="s">
        <v>20</v>
      </c>
      <c r="D243" s="1" t="s">
        <v>33</v>
      </c>
      <c r="E243" s="1" t="s">
        <v>10</v>
      </c>
      <c r="F243" s="1" t="s">
        <v>19</v>
      </c>
      <c r="G243" s="1">
        <v>60</v>
      </c>
    </row>
    <row r="244" spans="1:7" x14ac:dyDescent="0.2">
      <c r="A244" s="1" t="s">
        <v>465</v>
      </c>
      <c r="B244" s="1" t="s">
        <v>41</v>
      </c>
      <c r="C244" s="1" t="s">
        <v>55</v>
      </c>
      <c r="D244" s="1" t="s">
        <v>101</v>
      </c>
      <c r="E244" s="1" t="s">
        <v>17</v>
      </c>
      <c r="F244" s="1" t="s">
        <v>19</v>
      </c>
      <c r="G244" s="1">
        <v>90</v>
      </c>
    </row>
    <row r="245" spans="1:7" x14ac:dyDescent="0.2">
      <c r="A245" s="1" t="s">
        <v>466</v>
      </c>
      <c r="B245" s="1" t="s">
        <v>7</v>
      </c>
      <c r="C245" s="1" t="s">
        <v>25</v>
      </c>
      <c r="D245" s="1" t="s">
        <v>52</v>
      </c>
      <c r="E245" s="1" t="s">
        <v>17</v>
      </c>
      <c r="F245" s="1" t="s">
        <v>11</v>
      </c>
      <c r="G245" s="1">
        <v>70</v>
      </c>
    </row>
    <row r="246" spans="1:7" x14ac:dyDescent="0.2">
      <c r="A246" s="1" t="s">
        <v>467</v>
      </c>
      <c r="B246" s="1" t="s">
        <v>37</v>
      </c>
      <c r="C246" s="1" t="s">
        <v>49</v>
      </c>
      <c r="D246" s="1" t="s">
        <v>35</v>
      </c>
      <c r="E246" s="1" t="s">
        <v>10</v>
      </c>
      <c r="F246" s="1" t="s">
        <v>27</v>
      </c>
      <c r="G246" s="1">
        <v>180</v>
      </c>
    </row>
    <row r="247" spans="1:7" x14ac:dyDescent="0.2">
      <c r="A247" s="1" t="s">
        <v>468</v>
      </c>
      <c r="B247" s="1" t="s">
        <v>41</v>
      </c>
      <c r="C247" s="1" t="s">
        <v>55</v>
      </c>
      <c r="D247" s="1" t="s">
        <v>23</v>
      </c>
      <c r="E247" s="1" t="s">
        <v>17</v>
      </c>
      <c r="F247" s="1" t="s">
        <v>24</v>
      </c>
      <c r="G247" s="1">
        <v>90</v>
      </c>
    </row>
    <row r="248" spans="1:7" x14ac:dyDescent="0.2">
      <c r="A248" s="1" t="s">
        <v>469</v>
      </c>
      <c r="B248" s="1" t="s">
        <v>7</v>
      </c>
      <c r="C248" s="1" t="s">
        <v>25</v>
      </c>
      <c r="D248" s="1" t="s">
        <v>67</v>
      </c>
      <c r="E248" s="1" t="s">
        <v>17</v>
      </c>
      <c r="F248" s="1" t="s">
        <v>19</v>
      </c>
      <c r="G248" s="1">
        <v>70</v>
      </c>
    </row>
    <row r="249" spans="1:7" x14ac:dyDescent="0.2">
      <c r="A249" s="1" t="s">
        <v>470</v>
      </c>
      <c r="B249" s="1" t="s">
        <v>37</v>
      </c>
      <c r="C249" s="1" t="s">
        <v>59</v>
      </c>
      <c r="D249" s="1" t="s">
        <v>102</v>
      </c>
      <c r="E249" s="1" t="s">
        <v>17</v>
      </c>
      <c r="F249" s="1" t="s">
        <v>19</v>
      </c>
      <c r="G249" s="1">
        <v>220</v>
      </c>
    </row>
    <row r="250" spans="1:7" x14ac:dyDescent="0.2">
      <c r="A250" s="1" t="s">
        <v>471</v>
      </c>
      <c r="B250" s="1" t="s">
        <v>14</v>
      </c>
      <c r="C250" s="1" t="s">
        <v>46</v>
      </c>
      <c r="D250" s="1" t="s">
        <v>47</v>
      </c>
      <c r="E250" s="1" t="s">
        <v>17</v>
      </c>
      <c r="F250" s="1" t="s">
        <v>48</v>
      </c>
      <c r="G250" s="1">
        <v>30</v>
      </c>
    </row>
    <row r="251" spans="1:7" x14ac:dyDescent="0.2">
      <c r="A251" s="1" t="s">
        <v>472</v>
      </c>
      <c r="B251" s="1" t="s">
        <v>7</v>
      </c>
      <c r="C251" s="1" t="s">
        <v>12</v>
      </c>
      <c r="D251" s="1" t="s">
        <v>44</v>
      </c>
      <c r="E251" s="1" t="s">
        <v>17</v>
      </c>
      <c r="F251" s="1" t="s">
        <v>24</v>
      </c>
      <c r="G251" s="1">
        <v>20</v>
      </c>
    </row>
    <row r="252" spans="1:7" x14ac:dyDescent="0.2">
      <c r="A252" s="1" t="s">
        <v>473</v>
      </c>
      <c r="B252" s="1" t="s">
        <v>41</v>
      </c>
      <c r="C252" s="1" t="s">
        <v>62</v>
      </c>
      <c r="D252" s="1" t="s">
        <v>63</v>
      </c>
      <c r="E252" s="1" t="s">
        <v>17</v>
      </c>
      <c r="F252" s="1" t="s">
        <v>11</v>
      </c>
      <c r="G252" s="1">
        <v>80</v>
      </c>
    </row>
    <row r="253" spans="1:7" x14ac:dyDescent="0.2">
      <c r="A253" s="1" t="s">
        <v>474</v>
      </c>
      <c r="B253" s="1" t="s">
        <v>7</v>
      </c>
      <c r="C253" s="1" t="s">
        <v>25</v>
      </c>
      <c r="D253" s="1" t="s">
        <v>74</v>
      </c>
      <c r="E253" s="1" t="s">
        <v>17</v>
      </c>
      <c r="F253" s="1" t="s">
        <v>11</v>
      </c>
      <c r="G253" s="1">
        <v>70</v>
      </c>
    </row>
    <row r="254" spans="1:7" x14ac:dyDescent="0.2">
      <c r="A254" s="1" t="s">
        <v>475</v>
      </c>
      <c r="B254" s="1" t="s">
        <v>37</v>
      </c>
      <c r="C254" s="1" t="s">
        <v>49</v>
      </c>
      <c r="D254" s="1" t="s">
        <v>60</v>
      </c>
      <c r="E254" s="1" t="s">
        <v>17</v>
      </c>
      <c r="F254" s="1" t="s">
        <v>11</v>
      </c>
      <c r="G254" s="1">
        <v>190</v>
      </c>
    </row>
    <row r="255" spans="1:7" x14ac:dyDescent="0.2">
      <c r="A255" s="1" t="s">
        <v>476</v>
      </c>
      <c r="B255" s="1" t="s">
        <v>28</v>
      </c>
      <c r="C255" s="1" t="s">
        <v>34</v>
      </c>
      <c r="D255" s="1" t="s">
        <v>103</v>
      </c>
      <c r="E255" s="1" t="s">
        <v>17</v>
      </c>
      <c r="F255" s="1" t="s">
        <v>19</v>
      </c>
      <c r="G255" s="1">
        <v>270</v>
      </c>
    </row>
    <row r="256" spans="1:7" x14ac:dyDescent="0.2">
      <c r="A256" s="1" t="s">
        <v>477</v>
      </c>
      <c r="B256" s="1" t="s">
        <v>37</v>
      </c>
      <c r="C256" s="1" t="s">
        <v>49</v>
      </c>
      <c r="D256" s="1" t="s">
        <v>76</v>
      </c>
      <c r="E256" s="1" t="s">
        <v>10</v>
      </c>
      <c r="F256" s="1" t="s">
        <v>19</v>
      </c>
      <c r="G256" s="1">
        <v>190</v>
      </c>
    </row>
    <row r="257" spans="1:7" x14ac:dyDescent="0.2">
      <c r="A257" s="1" t="s">
        <v>478</v>
      </c>
      <c r="B257" s="1" t="s">
        <v>37</v>
      </c>
      <c r="C257" s="1" t="s">
        <v>59</v>
      </c>
      <c r="D257" s="1" t="s">
        <v>85</v>
      </c>
      <c r="E257" s="1" t="s">
        <v>17</v>
      </c>
      <c r="F257" s="1" t="s">
        <v>24</v>
      </c>
      <c r="G257" s="1">
        <v>220</v>
      </c>
    </row>
    <row r="258" spans="1:7" x14ac:dyDescent="0.2">
      <c r="A258" s="1" t="s">
        <v>479</v>
      </c>
      <c r="B258" s="1" t="s">
        <v>7</v>
      </c>
      <c r="C258" s="1" t="s">
        <v>32</v>
      </c>
      <c r="D258" s="1" t="s">
        <v>23</v>
      </c>
      <c r="E258" s="1" t="s">
        <v>17</v>
      </c>
      <c r="F258" s="1" t="s">
        <v>24</v>
      </c>
      <c r="G258" s="1">
        <v>90</v>
      </c>
    </row>
    <row r="259" spans="1:7" x14ac:dyDescent="0.2">
      <c r="A259" s="1" t="s">
        <v>480</v>
      </c>
      <c r="B259" s="1" t="s">
        <v>14</v>
      </c>
      <c r="C259" s="1" t="s">
        <v>20</v>
      </c>
      <c r="D259" s="1" t="s">
        <v>36</v>
      </c>
      <c r="E259" s="1" t="s">
        <v>10</v>
      </c>
      <c r="F259" s="1" t="s">
        <v>19</v>
      </c>
      <c r="G259" s="1">
        <v>70</v>
      </c>
    </row>
    <row r="260" spans="1:7" x14ac:dyDescent="0.2">
      <c r="A260" s="1" t="s">
        <v>481</v>
      </c>
      <c r="B260" s="1" t="s">
        <v>79</v>
      </c>
      <c r="C260" s="1" t="s">
        <v>80</v>
      </c>
      <c r="D260" s="1" t="s">
        <v>44</v>
      </c>
      <c r="E260" s="1" t="s">
        <v>17</v>
      </c>
      <c r="F260" s="1" t="s">
        <v>24</v>
      </c>
      <c r="G260" s="1">
        <v>160</v>
      </c>
    </row>
    <row r="261" spans="1:7" x14ac:dyDescent="0.2">
      <c r="A261" s="1" t="s">
        <v>482</v>
      </c>
      <c r="B261" s="1" t="s">
        <v>28</v>
      </c>
      <c r="C261" s="1" t="s">
        <v>58</v>
      </c>
      <c r="D261" s="1" t="s">
        <v>87</v>
      </c>
      <c r="E261" s="1" t="s">
        <v>17</v>
      </c>
      <c r="F261" s="1" t="s">
        <v>27</v>
      </c>
      <c r="G261" s="1">
        <v>90</v>
      </c>
    </row>
    <row r="262" spans="1:7" x14ac:dyDescent="0.2">
      <c r="A262" s="1" t="s">
        <v>483</v>
      </c>
      <c r="B262" s="1" t="s">
        <v>14</v>
      </c>
      <c r="C262" s="1" t="s">
        <v>46</v>
      </c>
      <c r="D262" s="1" t="s">
        <v>26</v>
      </c>
      <c r="E262" s="1" t="s">
        <v>10</v>
      </c>
      <c r="F262" s="1" t="s">
        <v>27</v>
      </c>
      <c r="G262" s="1">
        <v>30</v>
      </c>
    </row>
    <row r="263" spans="1:7" x14ac:dyDescent="0.2">
      <c r="A263" s="1" t="s">
        <v>484</v>
      </c>
      <c r="B263" s="1" t="s">
        <v>7</v>
      </c>
      <c r="C263" s="1" t="s">
        <v>25</v>
      </c>
      <c r="D263" s="1" t="s">
        <v>47</v>
      </c>
      <c r="E263" s="1" t="s">
        <v>17</v>
      </c>
      <c r="F263" s="1" t="s">
        <v>48</v>
      </c>
      <c r="G263" s="1">
        <v>70</v>
      </c>
    </row>
    <row r="264" spans="1:7" x14ac:dyDescent="0.2">
      <c r="A264" s="1" t="s">
        <v>485</v>
      </c>
      <c r="B264" s="1" t="s">
        <v>41</v>
      </c>
      <c r="C264" s="1" t="s">
        <v>62</v>
      </c>
      <c r="D264" s="1" t="s">
        <v>104</v>
      </c>
      <c r="E264" s="1" t="s">
        <v>17</v>
      </c>
      <c r="F264" s="1" t="s">
        <v>19</v>
      </c>
      <c r="G264" s="1">
        <v>80</v>
      </c>
    </row>
    <row r="265" spans="1:7" x14ac:dyDescent="0.2">
      <c r="A265" s="1" t="s">
        <v>486</v>
      </c>
      <c r="B265" s="1" t="s">
        <v>14</v>
      </c>
      <c r="C265" s="1" t="s">
        <v>39</v>
      </c>
      <c r="D265" s="1" t="s">
        <v>64</v>
      </c>
      <c r="E265" s="1" t="s">
        <v>17</v>
      </c>
      <c r="F265" s="1" t="s">
        <v>65</v>
      </c>
      <c r="G265" s="1">
        <v>50</v>
      </c>
    </row>
    <row r="266" spans="1:7" x14ac:dyDescent="0.2">
      <c r="A266" s="1" t="s">
        <v>487</v>
      </c>
      <c r="B266" s="1" t="s">
        <v>37</v>
      </c>
      <c r="C266" s="1" t="s">
        <v>59</v>
      </c>
      <c r="D266" s="1" t="s">
        <v>54</v>
      </c>
      <c r="E266" s="1" t="s">
        <v>17</v>
      </c>
      <c r="F266" s="1" t="s">
        <v>19</v>
      </c>
      <c r="G266" s="1">
        <v>210</v>
      </c>
    </row>
    <row r="267" spans="1:7" x14ac:dyDescent="0.2">
      <c r="A267" s="1" t="s">
        <v>488</v>
      </c>
      <c r="B267" s="1" t="s">
        <v>28</v>
      </c>
      <c r="C267" s="1" t="s">
        <v>29</v>
      </c>
      <c r="D267" s="1" t="s">
        <v>66</v>
      </c>
      <c r="E267" s="1" t="s">
        <v>10</v>
      </c>
      <c r="F267" s="1" t="s">
        <v>22</v>
      </c>
      <c r="G267" s="1">
        <v>60</v>
      </c>
    </row>
    <row r="268" spans="1:7" x14ac:dyDescent="0.2">
      <c r="A268" s="1" t="s">
        <v>489</v>
      </c>
      <c r="B268" s="1" t="s">
        <v>14</v>
      </c>
      <c r="C268" s="1" t="s">
        <v>46</v>
      </c>
      <c r="D268" s="1" t="s">
        <v>33</v>
      </c>
      <c r="E268" s="1" t="s">
        <v>10</v>
      </c>
      <c r="F268" s="1" t="s">
        <v>19</v>
      </c>
      <c r="G268" s="1">
        <v>30</v>
      </c>
    </row>
    <row r="269" spans="1:7" x14ac:dyDescent="0.2">
      <c r="A269" s="1" t="s">
        <v>490</v>
      </c>
      <c r="B269" s="1" t="s">
        <v>14</v>
      </c>
      <c r="C269" s="1" t="s">
        <v>39</v>
      </c>
      <c r="D269" s="1" t="s">
        <v>66</v>
      </c>
      <c r="E269" s="1" t="s">
        <v>10</v>
      </c>
      <c r="F269" s="1" t="s">
        <v>22</v>
      </c>
      <c r="G269" s="1">
        <v>60</v>
      </c>
    </row>
    <row r="270" spans="1:7" x14ac:dyDescent="0.2">
      <c r="A270" s="1" t="s">
        <v>491</v>
      </c>
      <c r="B270" s="1" t="s">
        <v>28</v>
      </c>
      <c r="C270" s="1" t="s">
        <v>58</v>
      </c>
      <c r="D270" s="1" t="s">
        <v>68</v>
      </c>
      <c r="E270" s="1" t="s">
        <v>17</v>
      </c>
      <c r="F270" s="1" t="s">
        <v>19</v>
      </c>
      <c r="G270" s="1">
        <v>90</v>
      </c>
    </row>
    <row r="271" spans="1:7" x14ac:dyDescent="0.2">
      <c r="A271" s="1" t="s">
        <v>492</v>
      </c>
      <c r="B271" s="1" t="s">
        <v>28</v>
      </c>
      <c r="C271" s="1" t="s">
        <v>29</v>
      </c>
      <c r="D271" s="1" t="s">
        <v>18</v>
      </c>
      <c r="E271" s="1" t="s">
        <v>17</v>
      </c>
      <c r="F271" s="1" t="s">
        <v>19</v>
      </c>
      <c r="G271" s="1">
        <v>60</v>
      </c>
    </row>
    <row r="272" spans="1:7" x14ac:dyDescent="0.2">
      <c r="A272" s="1" t="s">
        <v>493</v>
      </c>
      <c r="B272" s="1" t="s">
        <v>7</v>
      </c>
      <c r="C272" s="1" t="s">
        <v>12</v>
      </c>
      <c r="D272" s="1" t="s">
        <v>35</v>
      </c>
      <c r="E272" s="1" t="s">
        <v>10</v>
      </c>
      <c r="F272" s="1" t="s">
        <v>27</v>
      </c>
      <c r="G272" s="1">
        <v>20</v>
      </c>
    </row>
    <row r="273" spans="1:7" x14ac:dyDescent="0.2">
      <c r="A273" s="1" t="s">
        <v>494</v>
      </c>
      <c r="B273" s="1" t="s">
        <v>41</v>
      </c>
      <c r="C273" s="1" t="s">
        <v>72</v>
      </c>
      <c r="D273" s="1" t="s">
        <v>47</v>
      </c>
      <c r="E273" s="1" t="s">
        <v>17</v>
      </c>
      <c r="F273" s="1" t="s">
        <v>48</v>
      </c>
      <c r="G273" s="1">
        <v>110</v>
      </c>
    </row>
    <row r="274" spans="1:7" x14ac:dyDescent="0.2">
      <c r="A274" s="1" t="s">
        <v>495</v>
      </c>
      <c r="B274" s="1" t="s">
        <v>7</v>
      </c>
      <c r="C274" s="1" t="s">
        <v>32</v>
      </c>
      <c r="D274" s="1" t="s">
        <v>63</v>
      </c>
      <c r="E274" s="1" t="s">
        <v>17</v>
      </c>
      <c r="F274" s="1" t="s">
        <v>11</v>
      </c>
      <c r="G274" s="1">
        <v>80</v>
      </c>
    </row>
    <row r="275" spans="1:7" x14ac:dyDescent="0.2">
      <c r="A275" s="1" t="s">
        <v>496</v>
      </c>
      <c r="B275" s="1" t="s">
        <v>14</v>
      </c>
      <c r="C275" s="1" t="s">
        <v>46</v>
      </c>
      <c r="D275" s="1" t="s">
        <v>50</v>
      </c>
      <c r="E275" s="1" t="s">
        <v>17</v>
      </c>
      <c r="F275" s="1" t="s">
        <v>22</v>
      </c>
      <c r="G275" s="1">
        <v>30</v>
      </c>
    </row>
    <row r="276" spans="1:7" x14ac:dyDescent="0.2">
      <c r="A276" s="1" t="s">
        <v>497</v>
      </c>
      <c r="B276" s="1" t="s">
        <v>7</v>
      </c>
      <c r="C276" s="1" t="s">
        <v>25</v>
      </c>
      <c r="D276" s="1" t="s">
        <v>92</v>
      </c>
      <c r="E276" s="1" t="s">
        <v>17</v>
      </c>
      <c r="F276" s="1" t="s">
        <v>65</v>
      </c>
      <c r="G276" s="1">
        <v>60</v>
      </c>
    </row>
    <row r="277" spans="1:7" x14ac:dyDescent="0.2">
      <c r="A277" s="1" t="s">
        <v>498</v>
      </c>
      <c r="B277" s="1" t="s">
        <v>7</v>
      </c>
      <c r="C277" s="1" t="s">
        <v>32</v>
      </c>
      <c r="D277" s="1" t="s">
        <v>53</v>
      </c>
      <c r="E277" s="1" t="s">
        <v>10</v>
      </c>
      <c r="F277" s="1" t="s">
        <v>19</v>
      </c>
      <c r="G277" s="1">
        <v>90</v>
      </c>
    </row>
    <row r="278" spans="1:7" x14ac:dyDescent="0.2">
      <c r="A278" s="1" t="s">
        <v>499</v>
      </c>
      <c r="B278" s="1" t="s">
        <v>28</v>
      </c>
      <c r="C278" s="1" t="s">
        <v>58</v>
      </c>
      <c r="D278" s="1" t="s">
        <v>52</v>
      </c>
      <c r="E278" s="1" t="s">
        <v>17</v>
      </c>
      <c r="F278" s="1" t="s">
        <v>11</v>
      </c>
      <c r="G278" s="1">
        <v>80</v>
      </c>
    </row>
    <row r="279" spans="1:7" x14ac:dyDescent="0.2">
      <c r="A279" s="1" t="s">
        <v>500</v>
      </c>
      <c r="B279" s="1" t="s">
        <v>37</v>
      </c>
      <c r="C279" s="1" t="s">
        <v>59</v>
      </c>
      <c r="D279" s="1" t="s">
        <v>13</v>
      </c>
      <c r="E279" s="1" t="s">
        <v>10</v>
      </c>
      <c r="F279" s="1" t="s">
        <v>11</v>
      </c>
      <c r="G279" s="1">
        <v>210</v>
      </c>
    </row>
    <row r="280" spans="1:7" x14ac:dyDescent="0.2">
      <c r="A280" s="1" t="s">
        <v>501</v>
      </c>
      <c r="B280" s="1" t="s">
        <v>37</v>
      </c>
      <c r="C280" s="1" t="s">
        <v>49</v>
      </c>
      <c r="D280" s="1" t="s">
        <v>40</v>
      </c>
      <c r="E280" s="1" t="s">
        <v>17</v>
      </c>
      <c r="F280" s="1" t="s">
        <v>27</v>
      </c>
      <c r="G280" s="1">
        <v>190</v>
      </c>
    </row>
    <row r="281" spans="1:7" x14ac:dyDescent="0.2">
      <c r="A281" s="1" t="s">
        <v>502</v>
      </c>
      <c r="B281" s="1" t="s">
        <v>7</v>
      </c>
      <c r="C281" s="1" t="s">
        <v>32</v>
      </c>
      <c r="D281" s="1" t="s">
        <v>71</v>
      </c>
      <c r="E281" s="1" t="s">
        <v>17</v>
      </c>
      <c r="F281" s="1" t="s">
        <v>11</v>
      </c>
      <c r="G281" s="1">
        <v>90</v>
      </c>
    </row>
    <row r="282" spans="1:7" x14ac:dyDescent="0.2">
      <c r="A282" s="1" t="s">
        <v>503</v>
      </c>
      <c r="B282" s="1" t="s">
        <v>41</v>
      </c>
      <c r="C282" s="1" t="s">
        <v>62</v>
      </c>
      <c r="D282" s="1" t="s">
        <v>93</v>
      </c>
      <c r="E282" s="1" t="s">
        <v>17</v>
      </c>
      <c r="F282" s="1" t="s">
        <v>48</v>
      </c>
      <c r="G282" s="1">
        <v>70</v>
      </c>
    </row>
    <row r="283" spans="1:7" x14ac:dyDescent="0.2">
      <c r="A283" s="1" t="s">
        <v>504</v>
      </c>
      <c r="B283" s="1" t="s">
        <v>37</v>
      </c>
      <c r="C283" s="1" t="s">
        <v>59</v>
      </c>
      <c r="D283" s="1" t="s">
        <v>105</v>
      </c>
      <c r="E283" s="1" t="s">
        <v>17</v>
      </c>
      <c r="F283" s="1" t="s">
        <v>22</v>
      </c>
      <c r="G283" s="1">
        <v>210</v>
      </c>
    </row>
    <row r="284" spans="1:7" x14ac:dyDescent="0.2">
      <c r="A284" s="1" t="s">
        <v>505</v>
      </c>
      <c r="B284" s="1" t="s">
        <v>7</v>
      </c>
      <c r="C284" s="1" t="s">
        <v>8</v>
      </c>
      <c r="D284" s="1" t="s">
        <v>69</v>
      </c>
      <c r="E284" s="1" t="s">
        <v>17</v>
      </c>
      <c r="F284" s="1" t="s">
        <v>11</v>
      </c>
      <c r="G284" s="1">
        <v>80</v>
      </c>
    </row>
    <row r="285" spans="1:7" x14ac:dyDescent="0.2">
      <c r="A285" s="1" t="s">
        <v>506</v>
      </c>
      <c r="B285" s="1" t="s">
        <v>28</v>
      </c>
      <c r="C285" s="1" t="s">
        <v>29</v>
      </c>
      <c r="D285" s="1" t="s">
        <v>74</v>
      </c>
      <c r="E285" s="1" t="s">
        <v>17</v>
      </c>
      <c r="F285" s="1" t="s">
        <v>11</v>
      </c>
      <c r="G285" s="1">
        <v>70</v>
      </c>
    </row>
    <row r="286" spans="1:7" x14ac:dyDescent="0.2">
      <c r="A286" s="1" t="s">
        <v>507</v>
      </c>
      <c r="B286" s="1" t="s">
        <v>96</v>
      </c>
      <c r="C286" s="1" t="s">
        <v>97</v>
      </c>
      <c r="D286" s="1" t="s">
        <v>106</v>
      </c>
      <c r="E286" s="1" t="s">
        <v>17</v>
      </c>
      <c r="F286" s="1" t="s">
        <v>22</v>
      </c>
      <c r="G286">
        <v>230</v>
      </c>
    </row>
    <row r="287" spans="1:7" x14ac:dyDescent="0.2">
      <c r="A287" s="1" t="s">
        <v>508</v>
      </c>
      <c r="B287" s="1" t="s">
        <v>41</v>
      </c>
      <c r="C287" s="1" t="s">
        <v>55</v>
      </c>
      <c r="D287" s="1" t="s">
        <v>67</v>
      </c>
      <c r="E287" s="1" t="s">
        <v>17</v>
      </c>
      <c r="F287" s="1" t="s">
        <v>19</v>
      </c>
      <c r="G287" s="1">
        <v>90</v>
      </c>
    </row>
    <row r="288" spans="1:7" x14ac:dyDescent="0.2">
      <c r="A288" s="1" t="s">
        <v>509</v>
      </c>
      <c r="B288" s="1" t="s">
        <v>14</v>
      </c>
      <c r="C288" s="1" t="s">
        <v>46</v>
      </c>
      <c r="D288" s="1" t="s">
        <v>36</v>
      </c>
      <c r="E288" s="1" t="s">
        <v>10</v>
      </c>
      <c r="F288" s="1" t="s">
        <v>19</v>
      </c>
      <c r="G288" s="1">
        <v>30</v>
      </c>
    </row>
    <row r="289" spans="1:7" x14ac:dyDescent="0.2">
      <c r="A289" s="1" t="s">
        <v>510</v>
      </c>
      <c r="B289" s="1" t="s">
        <v>14</v>
      </c>
      <c r="C289" s="1" t="s">
        <v>15</v>
      </c>
      <c r="D289" s="1" t="s">
        <v>30</v>
      </c>
      <c r="E289" s="1" t="s">
        <v>17</v>
      </c>
      <c r="F289" s="1" t="s">
        <v>24</v>
      </c>
      <c r="G289" s="1">
        <v>130</v>
      </c>
    </row>
    <row r="290" spans="1:7" x14ac:dyDescent="0.2">
      <c r="A290" s="1" t="s">
        <v>511</v>
      </c>
      <c r="B290" s="1" t="s">
        <v>37</v>
      </c>
      <c r="C290" s="1" t="s">
        <v>59</v>
      </c>
      <c r="D290" s="1" t="s">
        <v>93</v>
      </c>
      <c r="E290" s="1" t="s">
        <v>17</v>
      </c>
      <c r="F290" s="1" t="s">
        <v>48</v>
      </c>
      <c r="G290" s="1">
        <v>220</v>
      </c>
    </row>
    <row r="291" spans="1:7" x14ac:dyDescent="0.2">
      <c r="A291" s="1" t="s">
        <v>512</v>
      </c>
      <c r="B291" s="1" t="s">
        <v>41</v>
      </c>
      <c r="C291" s="1" t="s">
        <v>42</v>
      </c>
      <c r="D291" s="1" t="s">
        <v>16</v>
      </c>
      <c r="E291" s="1" t="s">
        <v>17</v>
      </c>
      <c r="F291" s="1" t="s">
        <v>11</v>
      </c>
      <c r="G291" s="1">
        <v>80</v>
      </c>
    </row>
    <row r="292" spans="1:7" x14ac:dyDescent="0.2">
      <c r="A292" s="1" t="s">
        <v>513</v>
      </c>
      <c r="B292" s="1" t="s">
        <v>41</v>
      </c>
      <c r="C292" s="1" t="s">
        <v>70</v>
      </c>
      <c r="D292" s="1" t="s">
        <v>63</v>
      </c>
      <c r="E292" s="1" t="s">
        <v>17</v>
      </c>
      <c r="F292" s="1" t="s">
        <v>11</v>
      </c>
      <c r="G292" s="1">
        <v>220</v>
      </c>
    </row>
    <row r="293" spans="1:7" x14ac:dyDescent="0.2">
      <c r="A293" s="1" t="s">
        <v>514</v>
      </c>
      <c r="B293" s="1" t="s">
        <v>41</v>
      </c>
      <c r="C293" s="1" t="s">
        <v>42</v>
      </c>
      <c r="D293" s="1" t="s">
        <v>40</v>
      </c>
      <c r="E293" s="1" t="s">
        <v>17</v>
      </c>
      <c r="F293" s="1" t="s">
        <v>27</v>
      </c>
      <c r="G293" s="1">
        <v>70</v>
      </c>
    </row>
    <row r="294" spans="1:7" x14ac:dyDescent="0.2">
      <c r="A294" s="1" t="s">
        <v>515</v>
      </c>
      <c r="B294" s="1" t="s">
        <v>37</v>
      </c>
      <c r="C294" s="1" t="s">
        <v>49</v>
      </c>
      <c r="D294" s="1" t="s">
        <v>90</v>
      </c>
      <c r="E294" s="1" t="s">
        <v>10</v>
      </c>
      <c r="F294" s="1" t="s">
        <v>22</v>
      </c>
      <c r="G294" s="1">
        <v>180</v>
      </c>
    </row>
    <row r="295" spans="1:7" x14ac:dyDescent="0.2">
      <c r="A295" s="1" t="s">
        <v>516</v>
      </c>
      <c r="B295" s="1" t="s">
        <v>41</v>
      </c>
      <c r="C295" s="1" t="s">
        <v>55</v>
      </c>
      <c r="D295" s="1" t="s">
        <v>60</v>
      </c>
      <c r="E295" s="1" t="s">
        <v>17</v>
      </c>
      <c r="F295" s="1" t="s">
        <v>11</v>
      </c>
      <c r="G295" s="1">
        <v>90</v>
      </c>
    </row>
    <row r="296" spans="1:7" x14ac:dyDescent="0.2">
      <c r="A296" s="1" t="s">
        <v>517</v>
      </c>
      <c r="B296" s="1" t="s">
        <v>41</v>
      </c>
      <c r="C296" s="1" t="s">
        <v>62</v>
      </c>
      <c r="D296" s="1" t="s">
        <v>18</v>
      </c>
      <c r="E296" s="1" t="s">
        <v>17</v>
      </c>
      <c r="F296" s="1" t="s">
        <v>19</v>
      </c>
      <c r="G296" s="1">
        <v>70</v>
      </c>
    </row>
    <row r="297" spans="1:7" x14ac:dyDescent="0.2">
      <c r="A297" s="1" t="s">
        <v>518</v>
      </c>
      <c r="B297" s="1" t="s">
        <v>37</v>
      </c>
      <c r="C297" s="1" t="s">
        <v>49</v>
      </c>
      <c r="D297" s="1" t="s">
        <v>33</v>
      </c>
      <c r="E297" s="1" t="s">
        <v>10</v>
      </c>
      <c r="F297" s="1" t="s">
        <v>19</v>
      </c>
      <c r="G297" s="1">
        <v>190</v>
      </c>
    </row>
    <row r="298" spans="1:7" x14ac:dyDescent="0.2">
      <c r="A298" s="1" t="s">
        <v>519</v>
      </c>
      <c r="B298" s="1" t="s">
        <v>79</v>
      </c>
      <c r="C298" s="1" t="s">
        <v>80</v>
      </c>
      <c r="D298" s="1" t="s">
        <v>52</v>
      </c>
      <c r="E298" s="1" t="s">
        <v>17</v>
      </c>
      <c r="F298" s="1" t="s">
        <v>11</v>
      </c>
      <c r="G298" s="1">
        <v>170</v>
      </c>
    </row>
    <row r="299" spans="1:7" x14ac:dyDescent="0.2">
      <c r="A299" s="1" t="s">
        <v>520</v>
      </c>
      <c r="B299" s="1" t="s">
        <v>41</v>
      </c>
      <c r="C299" s="1" t="s">
        <v>62</v>
      </c>
      <c r="D299" s="1" t="s">
        <v>92</v>
      </c>
      <c r="E299" s="1" t="s">
        <v>17</v>
      </c>
      <c r="F299" s="1" t="s">
        <v>65</v>
      </c>
      <c r="G299" s="1">
        <v>80</v>
      </c>
    </row>
    <row r="300" spans="1:7" x14ac:dyDescent="0.2">
      <c r="A300" s="1" t="s">
        <v>521</v>
      </c>
      <c r="B300" s="1" t="s">
        <v>14</v>
      </c>
      <c r="C300" s="1" t="s">
        <v>20</v>
      </c>
      <c r="D300" s="1" t="s">
        <v>50</v>
      </c>
      <c r="E300" s="1" t="s">
        <v>17</v>
      </c>
      <c r="F300" s="1" t="s">
        <v>22</v>
      </c>
      <c r="G300" s="1">
        <v>70</v>
      </c>
    </row>
    <row r="301" spans="1:7" x14ac:dyDescent="0.2">
      <c r="A301" s="1" t="s">
        <v>522</v>
      </c>
      <c r="B301" s="1" t="s">
        <v>79</v>
      </c>
      <c r="C301" s="1" t="s">
        <v>80</v>
      </c>
      <c r="D301" s="1" t="s">
        <v>21</v>
      </c>
      <c r="E301" s="1" t="s">
        <v>17</v>
      </c>
      <c r="F301" s="1" t="s">
        <v>22</v>
      </c>
      <c r="G301" s="1">
        <v>170</v>
      </c>
    </row>
    <row r="302" spans="1:7" x14ac:dyDescent="0.2">
      <c r="A302" s="1" t="s">
        <v>523</v>
      </c>
      <c r="B302" s="1" t="s">
        <v>28</v>
      </c>
      <c r="C302" s="1" t="s">
        <v>29</v>
      </c>
      <c r="D302" s="1" t="s">
        <v>47</v>
      </c>
      <c r="E302" s="1" t="s">
        <v>17</v>
      </c>
      <c r="F302" s="1" t="s">
        <v>48</v>
      </c>
      <c r="G302" s="1">
        <v>60</v>
      </c>
    </row>
    <row r="303" spans="1:7" x14ac:dyDescent="0.2">
      <c r="A303" s="1" t="s">
        <v>524</v>
      </c>
      <c r="B303" s="1" t="s">
        <v>14</v>
      </c>
      <c r="C303" s="1" t="s">
        <v>46</v>
      </c>
      <c r="D303" s="1" t="s">
        <v>64</v>
      </c>
      <c r="E303" s="1" t="s">
        <v>17</v>
      </c>
      <c r="F303" s="1" t="s">
        <v>65</v>
      </c>
      <c r="G303" s="1">
        <v>30</v>
      </c>
    </row>
    <row r="304" spans="1:7" x14ac:dyDescent="0.2">
      <c r="A304" s="1" t="s">
        <v>525</v>
      </c>
      <c r="B304" s="1" t="s">
        <v>41</v>
      </c>
      <c r="C304" s="1" t="s">
        <v>55</v>
      </c>
      <c r="D304" s="1" t="s">
        <v>53</v>
      </c>
      <c r="E304" s="1" t="s">
        <v>10</v>
      </c>
      <c r="F304" s="1" t="s">
        <v>19</v>
      </c>
      <c r="G304" s="1">
        <v>90</v>
      </c>
    </row>
    <row r="305" spans="1:7" x14ac:dyDescent="0.2">
      <c r="A305" s="1" t="s">
        <v>526</v>
      </c>
      <c r="B305" s="1" t="s">
        <v>14</v>
      </c>
      <c r="C305" s="1" t="s">
        <v>46</v>
      </c>
      <c r="D305" s="1" t="s">
        <v>85</v>
      </c>
      <c r="E305" s="1" t="s">
        <v>17</v>
      </c>
      <c r="F305" s="1" t="s">
        <v>24</v>
      </c>
      <c r="G305" s="1">
        <v>30</v>
      </c>
    </row>
    <row r="306" spans="1:7" x14ac:dyDescent="0.2">
      <c r="A306" s="1" t="s">
        <v>527</v>
      </c>
      <c r="B306" s="1" t="s">
        <v>7</v>
      </c>
      <c r="C306" s="1" t="s">
        <v>25</v>
      </c>
      <c r="D306" s="1" t="s">
        <v>33</v>
      </c>
      <c r="E306" s="1" t="s">
        <v>10</v>
      </c>
      <c r="F306" s="1" t="s">
        <v>19</v>
      </c>
      <c r="G306" s="1">
        <v>60</v>
      </c>
    </row>
    <row r="307" spans="1:7" x14ac:dyDescent="0.2">
      <c r="A307" s="1" t="s">
        <v>528</v>
      </c>
      <c r="B307" s="1" t="s">
        <v>28</v>
      </c>
      <c r="C307" s="1" t="s">
        <v>34</v>
      </c>
      <c r="D307" s="1" t="s">
        <v>18</v>
      </c>
      <c r="E307" s="1" t="s">
        <v>17</v>
      </c>
      <c r="F307" s="1" t="s">
        <v>19</v>
      </c>
      <c r="G307" s="1">
        <v>270</v>
      </c>
    </row>
    <row r="308" spans="1:7" x14ac:dyDescent="0.2">
      <c r="A308" s="1" t="s">
        <v>529</v>
      </c>
      <c r="B308" s="1" t="s">
        <v>28</v>
      </c>
      <c r="C308" s="1" t="s">
        <v>34</v>
      </c>
      <c r="D308" s="1" t="s">
        <v>40</v>
      </c>
      <c r="E308" s="1" t="s">
        <v>17</v>
      </c>
      <c r="F308" s="1" t="s">
        <v>27</v>
      </c>
      <c r="G308" s="1">
        <v>280</v>
      </c>
    </row>
    <row r="309" spans="1:7" x14ac:dyDescent="0.2">
      <c r="A309" s="1" t="s">
        <v>530</v>
      </c>
      <c r="B309" s="1" t="s">
        <v>14</v>
      </c>
      <c r="C309" s="1" t="s">
        <v>46</v>
      </c>
      <c r="D309" s="1" t="s">
        <v>52</v>
      </c>
      <c r="E309" s="1" t="s">
        <v>17</v>
      </c>
      <c r="F309" s="1" t="s">
        <v>11</v>
      </c>
      <c r="G309" s="1">
        <v>20</v>
      </c>
    </row>
    <row r="310" spans="1:7" x14ac:dyDescent="0.2">
      <c r="A310" s="1" t="s">
        <v>531</v>
      </c>
      <c r="B310" s="1" t="s">
        <v>14</v>
      </c>
      <c r="C310" s="1" t="s">
        <v>39</v>
      </c>
      <c r="D310" s="1" t="s">
        <v>67</v>
      </c>
      <c r="E310" s="1" t="s">
        <v>17</v>
      </c>
      <c r="F310" s="1" t="s">
        <v>19</v>
      </c>
      <c r="G310" s="1">
        <v>60</v>
      </c>
    </row>
    <row r="311" spans="1:7" x14ac:dyDescent="0.2">
      <c r="A311" s="1" t="s">
        <v>532</v>
      </c>
      <c r="B311" s="1" t="s">
        <v>96</v>
      </c>
      <c r="C311" s="1" t="s">
        <v>97</v>
      </c>
      <c r="D311" s="1" t="s">
        <v>47</v>
      </c>
      <c r="E311" s="1" t="s">
        <v>17</v>
      </c>
      <c r="F311" s="1" t="s">
        <v>48</v>
      </c>
      <c r="G311">
        <v>220</v>
      </c>
    </row>
    <row r="312" spans="1:7" x14ac:dyDescent="0.2">
      <c r="A312" s="1" t="s">
        <v>533</v>
      </c>
      <c r="B312" s="1" t="s">
        <v>41</v>
      </c>
      <c r="C312" s="1" t="s">
        <v>70</v>
      </c>
      <c r="D312" s="1" t="s">
        <v>30</v>
      </c>
      <c r="E312" s="1" t="s">
        <v>17</v>
      </c>
      <c r="F312" s="1" t="s">
        <v>24</v>
      </c>
      <c r="G312" s="1">
        <v>210</v>
      </c>
    </row>
    <row r="313" spans="1:7" x14ac:dyDescent="0.2">
      <c r="A313" s="1" t="s">
        <v>534</v>
      </c>
      <c r="B313" s="1" t="s">
        <v>41</v>
      </c>
      <c r="C313" s="1" t="s">
        <v>55</v>
      </c>
      <c r="D313" s="1" t="s">
        <v>63</v>
      </c>
      <c r="E313" s="1" t="s">
        <v>17</v>
      </c>
      <c r="F313" s="1" t="s">
        <v>11</v>
      </c>
      <c r="G313" s="1">
        <v>100</v>
      </c>
    </row>
    <row r="314" spans="1:7" x14ac:dyDescent="0.2">
      <c r="A314" s="1" t="s">
        <v>535</v>
      </c>
      <c r="B314" s="1" t="s">
        <v>37</v>
      </c>
      <c r="C314" s="1" t="s">
        <v>59</v>
      </c>
      <c r="D314" s="1" t="s">
        <v>74</v>
      </c>
      <c r="E314" s="1" t="s">
        <v>17</v>
      </c>
      <c r="F314" s="1" t="s">
        <v>11</v>
      </c>
      <c r="G314" s="1">
        <v>210</v>
      </c>
    </row>
    <row r="315" spans="1:7" x14ac:dyDescent="0.2">
      <c r="A315" s="1" t="s">
        <v>536</v>
      </c>
      <c r="B315" s="1" t="s">
        <v>41</v>
      </c>
      <c r="C315" s="1" t="s">
        <v>42</v>
      </c>
      <c r="D315" s="1" t="s">
        <v>71</v>
      </c>
      <c r="E315" s="1" t="s">
        <v>17</v>
      </c>
      <c r="F315" s="1" t="s">
        <v>11</v>
      </c>
      <c r="G315" s="1">
        <v>80</v>
      </c>
    </row>
    <row r="316" spans="1:7" x14ac:dyDescent="0.2">
      <c r="A316" s="1" t="s">
        <v>537</v>
      </c>
      <c r="B316" s="1" t="s">
        <v>79</v>
      </c>
      <c r="C316" s="1" t="s">
        <v>80</v>
      </c>
      <c r="D316" s="1" t="s">
        <v>18</v>
      </c>
      <c r="E316" s="1" t="s">
        <v>17</v>
      </c>
      <c r="F316" s="1" t="s">
        <v>19</v>
      </c>
      <c r="G316" s="1">
        <v>170</v>
      </c>
    </row>
    <row r="317" spans="1:7" x14ac:dyDescent="0.2">
      <c r="A317" s="1" t="s">
        <v>538</v>
      </c>
      <c r="B317" s="1" t="s">
        <v>37</v>
      </c>
      <c r="C317" s="1" t="s">
        <v>59</v>
      </c>
      <c r="D317" s="1" t="s">
        <v>69</v>
      </c>
      <c r="E317" s="1" t="s">
        <v>17</v>
      </c>
      <c r="F317" s="1" t="s">
        <v>11</v>
      </c>
      <c r="G317" s="1">
        <v>210</v>
      </c>
    </row>
    <row r="318" spans="1:7" x14ac:dyDescent="0.2">
      <c r="A318" s="1" t="s">
        <v>539</v>
      </c>
      <c r="B318" s="1" t="s">
        <v>7</v>
      </c>
      <c r="C318" s="1" t="s">
        <v>25</v>
      </c>
      <c r="D318" s="1" t="s">
        <v>21</v>
      </c>
      <c r="E318" s="1" t="s">
        <v>17</v>
      </c>
      <c r="F318" s="1" t="s">
        <v>22</v>
      </c>
      <c r="G318" s="1">
        <v>70</v>
      </c>
    </row>
    <row r="319" spans="1:7" x14ac:dyDescent="0.2">
      <c r="A319" s="1" t="s">
        <v>540</v>
      </c>
      <c r="B319" s="1" t="s">
        <v>37</v>
      </c>
      <c r="C319" s="1" t="s">
        <v>49</v>
      </c>
      <c r="D319" s="1" t="s">
        <v>53</v>
      </c>
      <c r="E319" s="1" t="s">
        <v>10</v>
      </c>
      <c r="F319" s="1" t="s">
        <v>19</v>
      </c>
      <c r="G319" s="1">
        <v>190</v>
      </c>
    </row>
    <row r="320" spans="1:7" x14ac:dyDescent="0.2">
      <c r="A320" s="1" t="s">
        <v>541</v>
      </c>
      <c r="B320" s="1" t="s">
        <v>41</v>
      </c>
      <c r="C320" s="1" t="s">
        <v>43</v>
      </c>
      <c r="D320" s="1" t="s">
        <v>30</v>
      </c>
      <c r="E320" s="1" t="s">
        <v>17</v>
      </c>
      <c r="F320" s="1" t="s">
        <v>24</v>
      </c>
      <c r="G320" s="1">
        <v>190</v>
      </c>
    </row>
    <row r="321" spans="1:7" x14ac:dyDescent="0.2">
      <c r="A321" s="1" t="s">
        <v>542</v>
      </c>
      <c r="B321" s="1" t="s">
        <v>37</v>
      </c>
      <c r="C321" s="1" t="s">
        <v>49</v>
      </c>
      <c r="D321" s="1" t="s">
        <v>23</v>
      </c>
      <c r="E321" s="1" t="s">
        <v>17</v>
      </c>
      <c r="F321" s="1" t="s">
        <v>24</v>
      </c>
      <c r="G321" s="1">
        <v>190</v>
      </c>
    </row>
    <row r="322" spans="1:7" x14ac:dyDescent="0.2">
      <c r="A322" s="1" t="s">
        <v>543</v>
      </c>
      <c r="B322" s="1" t="s">
        <v>41</v>
      </c>
      <c r="C322" s="1" t="s">
        <v>55</v>
      </c>
      <c r="D322" s="1" t="s">
        <v>85</v>
      </c>
      <c r="E322" s="1" t="s">
        <v>17</v>
      </c>
      <c r="F322" s="1" t="s">
        <v>24</v>
      </c>
      <c r="G322" s="1">
        <v>100</v>
      </c>
    </row>
    <row r="323" spans="1:7" x14ac:dyDescent="0.2">
      <c r="A323" s="1" t="s">
        <v>544</v>
      </c>
      <c r="B323" s="1" t="s">
        <v>28</v>
      </c>
      <c r="C323" s="1" t="s">
        <v>58</v>
      </c>
      <c r="D323" s="1" t="s">
        <v>64</v>
      </c>
      <c r="E323" s="1" t="s">
        <v>17</v>
      </c>
      <c r="F323" s="1" t="s">
        <v>65</v>
      </c>
      <c r="G323" s="1">
        <v>80</v>
      </c>
    </row>
    <row r="324" spans="1:7" x14ac:dyDescent="0.2">
      <c r="A324" s="1" t="s">
        <v>545</v>
      </c>
      <c r="B324" s="1" t="s">
        <v>14</v>
      </c>
      <c r="C324" s="1" t="s">
        <v>39</v>
      </c>
      <c r="D324" s="1" t="s">
        <v>23</v>
      </c>
      <c r="E324" s="1" t="s">
        <v>17</v>
      </c>
      <c r="F324" s="1" t="s">
        <v>24</v>
      </c>
      <c r="G324" s="1">
        <v>60</v>
      </c>
    </row>
    <row r="325" spans="1:7" x14ac:dyDescent="0.2">
      <c r="A325" s="1" t="s">
        <v>546</v>
      </c>
      <c r="B325" s="1" t="s">
        <v>7</v>
      </c>
      <c r="C325" s="1" t="s">
        <v>25</v>
      </c>
      <c r="D325" s="1" t="s">
        <v>13</v>
      </c>
      <c r="E325" s="1" t="s">
        <v>10</v>
      </c>
      <c r="F325" s="1" t="s">
        <v>11</v>
      </c>
      <c r="G325" s="1">
        <v>60</v>
      </c>
    </row>
    <row r="326" spans="1:7" x14ac:dyDescent="0.2">
      <c r="A326" s="1" t="s">
        <v>547</v>
      </c>
      <c r="B326" s="1" t="s">
        <v>96</v>
      </c>
      <c r="C326" s="1" t="s">
        <v>97</v>
      </c>
      <c r="D326" s="1" t="s">
        <v>93</v>
      </c>
      <c r="E326" s="1" t="s">
        <v>17</v>
      </c>
      <c r="F326" s="1" t="s">
        <v>48</v>
      </c>
      <c r="G326">
        <v>230</v>
      </c>
    </row>
    <row r="327" spans="1:7" x14ac:dyDescent="0.2">
      <c r="A327" s="1" t="s">
        <v>548</v>
      </c>
      <c r="B327" s="1" t="s">
        <v>7</v>
      </c>
      <c r="C327" s="1" t="s">
        <v>25</v>
      </c>
      <c r="D327" s="1" t="s">
        <v>53</v>
      </c>
      <c r="E327" s="1" t="s">
        <v>10</v>
      </c>
      <c r="F327" s="1" t="s">
        <v>19</v>
      </c>
      <c r="G327" s="1">
        <v>70</v>
      </c>
    </row>
    <row r="328" spans="1:7" x14ac:dyDescent="0.2">
      <c r="A328" s="1" t="s">
        <v>549</v>
      </c>
      <c r="B328" s="1" t="s">
        <v>28</v>
      </c>
      <c r="C328" s="1" t="s">
        <v>29</v>
      </c>
      <c r="D328" s="1" t="s">
        <v>53</v>
      </c>
      <c r="E328" s="1" t="s">
        <v>10</v>
      </c>
      <c r="F328" s="1" t="s">
        <v>19</v>
      </c>
      <c r="G328" s="1">
        <v>60</v>
      </c>
    </row>
    <row r="329" spans="1:7" x14ac:dyDescent="0.2">
      <c r="A329" s="1" t="s">
        <v>550</v>
      </c>
      <c r="B329" s="1" t="s">
        <v>7</v>
      </c>
      <c r="C329" s="1" t="s">
        <v>8</v>
      </c>
      <c r="D329" s="1" t="s">
        <v>36</v>
      </c>
      <c r="E329" s="1" t="s">
        <v>10</v>
      </c>
      <c r="F329" s="1" t="s">
        <v>19</v>
      </c>
      <c r="G329" s="1">
        <v>90</v>
      </c>
    </row>
    <row r="330" spans="1:7" x14ac:dyDescent="0.2">
      <c r="A330" s="1" t="s">
        <v>551</v>
      </c>
      <c r="B330" s="1" t="s">
        <v>7</v>
      </c>
      <c r="C330" s="1" t="s">
        <v>25</v>
      </c>
      <c r="D330" s="1" t="s">
        <v>69</v>
      </c>
      <c r="E330" s="1" t="s">
        <v>17</v>
      </c>
      <c r="F330" s="1" t="s">
        <v>11</v>
      </c>
      <c r="G330" s="1">
        <v>60</v>
      </c>
    </row>
    <row r="331" spans="1:7" x14ac:dyDescent="0.2">
      <c r="A331" s="1" t="s">
        <v>552</v>
      </c>
      <c r="B331" s="1" t="s">
        <v>41</v>
      </c>
      <c r="C331" s="1" t="s">
        <v>42</v>
      </c>
      <c r="D331" s="1" t="s">
        <v>66</v>
      </c>
      <c r="E331" s="1" t="s">
        <v>10</v>
      </c>
      <c r="F331" s="1" t="s">
        <v>22</v>
      </c>
      <c r="G331" s="1">
        <v>70</v>
      </c>
    </row>
    <row r="332" spans="1:7" x14ac:dyDescent="0.2">
      <c r="A332" s="1" t="s">
        <v>553</v>
      </c>
      <c r="B332" s="1" t="s">
        <v>7</v>
      </c>
      <c r="C332" s="1" t="s">
        <v>12</v>
      </c>
      <c r="D332" s="1" t="s">
        <v>31</v>
      </c>
      <c r="E332" s="1" t="s">
        <v>10</v>
      </c>
      <c r="F332" s="1" t="s">
        <v>27</v>
      </c>
      <c r="G332" s="1">
        <v>20</v>
      </c>
    </row>
    <row r="333" spans="1:7" x14ac:dyDescent="0.2">
      <c r="A333" s="1" t="s">
        <v>554</v>
      </c>
      <c r="B333" s="1" t="s">
        <v>7</v>
      </c>
      <c r="C333" s="1" t="s">
        <v>32</v>
      </c>
      <c r="D333" s="1" t="s">
        <v>26</v>
      </c>
      <c r="E333" s="1" t="s">
        <v>10</v>
      </c>
      <c r="F333" s="1" t="s">
        <v>27</v>
      </c>
      <c r="G333" s="1">
        <v>80</v>
      </c>
    </row>
    <row r="334" spans="1:7" x14ac:dyDescent="0.2">
      <c r="A334" s="1" t="s">
        <v>555</v>
      </c>
      <c r="B334" s="1" t="s">
        <v>41</v>
      </c>
      <c r="C334" s="1" t="s">
        <v>62</v>
      </c>
      <c r="D334" s="1" t="s">
        <v>21</v>
      </c>
      <c r="E334" s="1" t="s">
        <v>17</v>
      </c>
      <c r="F334" s="1" t="s">
        <v>22</v>
      </c>
      <c r="G334" s="1">
        <v>80</v>
      </c>
    </row>
    <row r="335" spans="1:7" x14ac:dyDescent="0.2">
      <c r="A335" s="1" t="s">
        <v>556</v>
      </c>
      <c r="B335" s="1" t="s">
        <v>7</v>
      </c>
      <c r="C335" s="1" t="s">
        <v>32</v>
      </c>
      <c r="D335" s="1" t="s">
        <v>9</v>
      </c>
      <c r="E335" s="1" t="s">
        <v>10</v>
      </c>
      <c r="F335" s="1" t="s">
        <v>11</v>
      </c>
      <c r="G335" s="1">
        <v>90</v>
      </c>
    </row>
    <row r="336" spans="1:7" x14ac:dyDescent="0.2">
      <c r="A336" s="1" t="s">
        <v>557</v>
      </c>
      <c r="B336" s="1" t="s">
        <v>28</v>
      </c>
      <c r="C336" s="1" t="s">
        <v>58</v>
      </c>
      <c r="D336" s="1" t="s">
        <v>53</v>
      </c>
      <c r="E336" s="1" t="s">
        <v>10</v>
      </c>
      <c r="F336" s="1" t="s">
        <v>19</v>
      </c>
      <c r="G336" s="1">
        <v>80</v>
      </c>
    </row>
    <row r="337" spans="1:7" x14ac:dyDescent="0.2">
      <c r="A337" s="1" t="s">
        <v>558</v>
      </c>
      <c r="B337" s="1" t="s">
        <v>37</v>
      </c>
      <c r="C337" s="1" t="s">
        <v>59</v>
      </c>
      <c r="D337" s="1" t="s">
        <v>31</v>
      </c>
      <c r="E337" s="1" t="s">
        <v>10</v>
      </c>
      <c r="F337" s="1" t="s">
        <v>27</v>
      </c>
      <c r="G337" s="1">
        <v>210</v>
      </c>
    </row>
    <row r="338" spans="1:7" x14ac:dyDescent="0.2">
      <c r="A338" s="1" t="s">
        <v>559</v>
      </c>
      <c r="B338" s="1" t="s">
        <v>7</v>
      </c>
      <c r="C338" s="1" t="s">
        <v>12</v>
      </c>
      <c r="D338" s="1" t="s">
        <v>85</v>
      </c>
      <c r="E338" s="1" t="s">
        <v>17</v>
      </c>
      <c r="F338" s="1" t="s">
        <v>24</v>
      </c>
      <c r="G338" s="1">
        <v>30</v>
      </c>
    </row>
    <row r="339" spans="1:7" x14ac:dyDescent="0.2">
      <c r="A339" s="1" t="s">
        <v>560</v>
      </c>
      <c r="B339" s="1" t="s">
        <v>7</v>
      </c>
      <c r="C339" s="1" t="s">
        <v>25</v>
      </c>
      <c r="D339" s="1" t="s">
        <v>23</v>
      </c>
      <c r="E339" s="1" t="s">
        <v>17</v>
      </c>
      <c r="F339" s="1" t="s">
        <v>24</v>
      </c>
      <c r="G339" s="1">
        <v>60</v>
      </c>
    </row>
    <row r="340" spans="1:7" x14ac:dyDescent="0.2">
      <c r="A340" s="1" t="s">
        <v>561</v>
      </c>
      <c r="B340" s="1" t="s">
        <v>37</v>
      </c>
      <c r="C340" s="1" t="s">
        <v>59</v>
      </c>
      <c r="D340" s="1" t="s">
        <v>23</v>
      </c>
      <c r="E340" s="1" t="s">
        <v>17</v>
      </c>
      <c r="F340" s="1" t="s">
        <v>24</v>
      </c>
      <c r="G340" s="1">
        <v>210</v>
      </c>
    </row>
    <row r="341" spans="1:7" x14ac:dyDescent="0.2">
      <c r="A341" s="1" t="s">
        <v>562</v>
      </c>
      <c r="B341" s="1" t="s">
        <v>7</v>
      </c>
      <c r="C341" s="1" t="s">
        <v>32</v>
      </c>
      <c r="D341" s="1" t="s">
        <v>36</v>
      </c>
      <c r="E341" s="1" t="s">
        <v>10</v>
      </c>
      <c r="F341" s="1" t="s">
        <v>19</v>
      </c>
      <c r="G341" s="1">
        <v>90</v>
      </c>
    </row>
    <row r="342" spans="1:7" x14ac:dyDescent="0.2">
      <c r="A342" s="1" t="s">
        <v>563</v>
      </c>
      <c r="B342" s="1" t="s">
        <v>7</v>
      </c>
      <c r="C342" s="1" t="s">
        <v>12</v>
      </c>
      <c r="D342" s="1" t="s">
        <v>69</v>
      </c>
      <c r="E342" s="1" t="s">
        <v>17</v>
      </c>
      <c r="F342" s="1" t="s">
        <v>11</v>
      </c>
      <c r="G342" s="1">
        <v>30</v>
      </c>
    </row>
    <row r="343" spans="1:7" x14ac:dyDescent="0.2">
      <c r="A343" s="1" t="s">
        <v>564</v>
      </c>
      <c r="B343" s="1" t="s">
        <v>7</v>
      </c>
      <c r="C343" s="1" t="s">
        <v>12</v>
      </c>
      <c r="D343" s="1" t="s">
        <v>93</v>
      </c>
      <c r="E343" s="1" t="s">
        <v>17</v>
      </c>
      <c r="F343" s="1" t="s">
        <v>48</v>
      </c>
      <c r="G343" s="1">
        <v>30</v>
      </c>
    </row>
    <row r="344" spans="1:7" x14ac:dyDescent="0.2">
      <c r="A344" s="1" t="s">
        <v>565</v>
      </c>
      <c r="B344" s="1" t="s">
        <v>7</v>
      </c>
      <c r="C344" s="1" t="s">
        <v>12</v>
      </c>
      <c r="D344" s="1" t="s">
        <v>30</v>
      </c>
      <c r="E344" s="1" t="s">
        <v>17</v>
      </c>
      <c r="F344" s="1" t="s">
        <v>24</v>
      </c>
      <c r="G344" s="1">
        <v>30</v>
      </c>
    </row>
    <row r="345" spans="1:7" x14ac:dyDescent="0.2">
      <c r="A345" s="1" t="s">
        <v>566</v>
      </c>
      <c r="B345" s="1" t="s">
        <v>37</v>
      </c>
      <c r="C345" s="1" t="s">
        <v>38</v>
      </c>
      <c r="D345" s="1" t="s">
        <v>85</v>
      </c>
      <c r="E345" s="1" t="s">
        <v>17</v>
      </c>
      <c r="F345" s="1" t="s">
        <v>24</v>
      </c>
      <c r="G345" s="1">
        <v>110</v>
      </c>
    </row>
    <row r="346" spans="1:7" x14ac:dyDescent="0.2">
      <c r="A346" s="1" t="s">
        <v>567</v>
      </c>
      <c r="B346" s="1" t="s">
        <v>41</v>
      </c>
      <c r="C346" s="1" t="s">
        <v>55</v>
      </c>
      <c r="D346" s="1" t="s">
        <v>107</v>
      </c>
      <c r="E346" s="1" t="s">
        <v>17</v>
      </c>
      <c r="F346" s="1" t="s">
        <v>11</v>
      </c>
      <c r="G346" s="1">
        <v>100</v>
      </c>
    </row>
    <row r="347" spans="1:7" x14ac:dyDescent="0.2">
      <c r="A347" s="1" t="s">
        <v>568</v>
      </c>
      <c r="B347" s="1" t="s">
        <v>7</v>
      </c>
      <c r="C347" s="1" t="s">
        <v>25</v>
      </c>
      <c r="D347" s="1" t="s">
        <v>50</v>
      </c>
      <c r="E347" s="1" t="s">
        <v>17</v>
      </c>
      <c r="F347" s="1" t="s">
        <v>22</v>
      </c>
      <c r="G347" s="1">
        <v>60</v>
      </c>
    </row>
    <row r="348" spans="1:7" x14ac:dyDescent="0.2">
      <c r="A348" s="1" t="s">
        <v>569</v>
      </c>
      <c r="B348" s="1" t="s">
        <v>14</v>
      </c>
      <c r="C348" s="1" t="s">
        <v>15</v>
      </c>
      <c r="D348" s="1" t="s">
        <v>89</v>
      </c>
      <c r="E348" s="1" t="s">
        <v>17</v>
      </c>
      <c r="F348" s="1" t="s">
        <v>11</v>
      </c>
      <c r="G348" s="1">
        <v>120</v>
      </c>
    </row>
    <row r="349" spans="1:7" x14ac:dyDescent="0.2">
      <c r="A349" s="1" t="s">
        <v>570</v>
      </c>
      <c r="B349" s="1" t="s">
        <v>28</v>
      </c>
      <c r="C349" s="1" t="s">
        <v>58</v>
      </c>
      <c r="D349" s="1" t="s">
        <v>30</v>
      </c>
      <c r="E349" s="1" t="s">
        <v>17</v>
      </c>
      <c r="F349" s="1" t="s">
        <v>24</v>
      </c>
      <c r="G349" s="1">
        <v>90</v>
      </c>
    </row>
    <row r="350" spans="1:7" x14ac:dyDescent="0.2">
      <c r="A350" s="1" t="s">
        <v>571</v>
      </c>
      <c r="B350" s="1" t="s">
        <v>28</v>
      </c>
      <c r="C350" s="1" t="s">
        <v>29</v>
      </c>
      <c r="D350" s="1" t="s">
        <v>50</v>
      </c>
      <c r="E350" s="1" t="s">
        <v>17</v>
      </c>
      <c r="F350" s="1" t="s">
        <v>22</v>
      </c>
      <c r="G350" s="1">
        <v>70</v>
      </c>
    </row>
    <row r="351" spans="1:7" x14ac:dyDescent="0.2">
      <c r="A351" s="1" t="s">
        <v>572</v>
      </c>
      <c r="B351" s="1" t="s">
        <v>37</v>
      </c>
      <c r="C351" s="1" t="s">
        <v>59</v>
      </c>
      <c r="D351" s="1" t="s">
        <v>30</v>
      </c>
      <c r="E351" s="1" t="s">
        <v>17</v>
      </c>
      <c r="F351" s="1" t="s">
        <v>24</v>
      </c>
      <c r="G351" s="1">
        <v>210</v>
      </c>
    </row>
    <row r="352" spans="1:7" x14ac:dyDescent="0.2">
      <c r="A352" s="1" t="s">
        <v>573</v>
      </c>
      <c r="B352" s="1" t="s">
        <v>7</v>
      </c>
      <c r="C352" s="1" t="s">
        <v>8</v>
      </c>
      <c r="D352" s="1" t="s">
        <v>31</v>
      </c>
      <c r="E352" s="1" t="s">
        <v>10</v>
      </c>
      <c r="F352" s="1" t="s">
        <v>27</v>
      </c>
      <c r="G352" s="1">
        <v>80</v>
      </c>
    </row>
    <row r="353" spans="1:7" x14ac:dyDescent="0.2">
      <c r="A353" s="1" t="s">
        <v>574</v>
      </c>
      <c r="B353" s="1" t="s">
        <v>14</v>
      </c>
      <c r="C353" s="1" t="s">
        <v>15</v>
      </c>
      <c r="D353" s="1" t="s">
        <v>85</v>
      </c>
      <c r="E353" s="1" t="s">
        <v>17</v>
      </c>
      <c r="F353" s="1" t="s">
        <v>24</v>
      </c>
      <c r="G353" s="1">
        <v>130</v>
      </c>
    </row>
    <row r="354" spans="1:7" x14ac:dyDescent="0.2">
      <c r="A354" s="1" t="s">
        <v>575</v>
      </c>
      <c r="B354" s="1" t="s">
        <v>7</v>
      </c>
      <c r="C354" s="1" t="s">
        <v>12</v>
      </c>
      <c r="D354" s="1" t="s">
        <v>71</v>
      </c>
      <c r="E354" s="1" t="s">
        <v>17</v>
      </c>
      <c r="F354" s="1" t="s">
        <v>11</v>
      </c>
      <c r="G354" s="1">
        <v>20</v>
      </c>
    </row>
    <row r="355" spans="1:7" x14ac:dyDescent="0.2">
      <c r="A355" s="1" t="s">
        <v>576</v>
      </c>
      <c r="B355" s="1" t="s">
        <v>28</v>
      </c>
      <c r="C355" s="1" t="s">
        <v>29</v>
      </c>
      <c r="D355" s="1" t="s">
        <v>44</v>
      </c>
      <c r="E355" s="1" t="s">
        <v>17</v>
      </c>
      <c r="F355" s="1" t="s">
        <v>24</v>
      </c>
      <c r="G355" s="1">
        <v>60</v>
      </c>
    </row>
    <row r="356" spans="1:7" x14ac:dyDescent="0.2">
      <c r="A356" s="1" t="s">
        <v>577</v>
      </c>
      <c r="B356" s="1" t="s">
        <v>7</v>
      </c>
      <c r="C356" s="1" t="s">
        <v>25</v>
      </c>
      <c r="D356" s="1" t="s">
        <v>57</v>
      </c>
      <c r="E356" s="1" t="s">
        <v>10</v>
      </c>
      <c r="F356" s="1" t="s">
        <v>22</v>
      </c>
      <c r="G356" s="1">
        <v>70</v>
      </c>
    </row>
    <row r="357" spans="1:7" x14ac:dyDescent="0.2">
      <c r="A357" s="1" t="s">
        <v>578</v>
      </c>
      <c r="B357" s="1" t="s">
        <v>14</v>
      </c>
      <c r="C357" s="1" t="s">
        <v>46</v>
      </c>
      <c r="D357" s="1" t="s">
        <v>92</v>
      </c>
      <c r="E357" s="1" t="s">
        <v>17</v>
      </c>
      <c r="F357" s="1" t="s">
        <v>65</v>
      </c>
      <c r="G357" s="1">
        <v>20</v>
      </c>
    </row>
    <row r="358" spans="1:7" x14ac:dyDescent="0.2">
      <c r="A358" s="1" t="s">
        <v>579</v>
      </c>
      <c r="B358" s="1" t="s">
        <v>41</v>
      </c>
      <c r="C358" s="1" t="s">
        <v>42</v>
      </c>
      <c r="D358" s="1" t="s">
        <v>108</v>
      </c>
      <c r="E358" s="1" t="s">
        <v>17</v>
      </c>
      <c r="F358" s="1" t="s">
        <v>27</v>
      </c>
      <c r="G358" s="1">
        <v>70</v>
      </c>
    </row>
    <row r="359" spans="1:7" x14ac:dyDescent="0.2">
      <c r="A359" s="1" t="s">
        <v>580</v>
      </c>
      <c r="B359" s="1" t="s">
        <v>79</v>
      </c>
      <c r="C359" s="1" t="s">
        <v>80</v>
      </c>
      <c r="D359" s="1" t="s">
        <v>92</v>
      </c>
      <c r="E359" s="1" t="s">
        <v>17</v>
      </c>
      <c r="F359" s="1" t="s">
        <v>65</v>
      </c>
      <c r="G359" s="1">
        <v>170</v>
      </c>
    </row>
    <row r="360" spans="1:7" x14ac:dyDescent="0.2">
      <c r="A360" s="1" t="s">
        <v>581</v>
      </c>
      <c r="B360" s="1" t="s">
        <v>79</v>
      </c>
      <c r="C360" s="1" t="s">
        <v>80</v>
      </c>
      <c r="D360" s="1" t="s">
        <v>93</v>
      </c>
      <c r="E360" s="1" t="s">
        <v>17</v>
      </c>
      <c r="F360" s="1" t="s">
        <v>48</v>
      </c>
      <c r="G360" s="1">
        <v>160</v>
      </c>
    </row>
    <row r="361" spans="1:7" x14ac:dyDescent="0.2">
      <c r="A361" s="1" t="s">
        <v>582</v>
      </c>
      <c r="B361" s="1" t="s">
        <v>41</v>
      </c>
      <c r="C361" s="1" t="s">
        <v>55</v>
      </c>
      <c r="D361" s="1" t="s">
        <v>52</v>
      </c>
      <c r="E361" s="1" t="s">
        <v>17</v>
      </c>
      <c r="F361" s="1" t="s">
        <v>11</v>
      </c>
      <c r="G361" s="1">
        <v>100</v>
      </c>
    </row>
    <row r="362" spans="1:7" x14ac:dyDescent="0.2">
      <c r="A362" s="1" t="s">
        <v>583</v>
      </c>
      <c r="B362" s="1" t="s">
        <v>7</v>
      </c>
      <c r="C362" s="1" t="s">
        <v>25</v>
      </c>
      <c r="D362" s="1" t="s">
        <v>45</v>
      </c>
      <c r="E362" s="1" t="s">
        <v>10</v>
      </c>
      <c r="F362" s="1" t="s">
        <v>11</v>
      </c>
      <c r="G362" s="1">
        <v>70</v>
      </c>
    </row>
    <row r="363" spans="1:7" x14ac:dyDescent="0.2">
      <c r="A363" s="1" t="s">
        <v>584</v>
      </c>
      <c r="B363" s="1" t="s">
        <v>28</v>
      </c>
      <c r="C363" s="1" t="s">
        <v>58</v>
      </c>
      <c r="D363" s="1" t="s">
        <v>23</v>
      </c>
      <c r="E363" s="1" t="s">
        <v>17</v>
      </c>
      <c r="F363" s="1" t="s">
        <v>24</v>
      </c>
      <c r="G363" s="1">
        <v>90</v>
      </c>
    </row>
    <row r="364" spans="1:7" x14ac:dyDescent="0.2">
      <c r="A364" s="1" t="s">
        <v>585</v>
      </c>
      <c r="B364" s="1" t="s">
        <v>28</v>
      </c>
      <c r="C364" s="1" t="s">
        <v>34</v>
      </c>
      <c r="D364" s="1" t="s">
        <v>9</v>
      </c>
      <c r="E364" s="1" t="s">
        <v>10</v>
      </c>
      <c r="F364" s="1" t="s">
        <v>11</v>
      </c>
      <c r="G364" s="1">
        <v>270</v>
      </c>
    </row>
    <row r="365" spans="1:7" x14ac:dyDescent="0.2">
      <c r="A365" s="1" t="s">
        <v>586</v>
      </c>
      <c r="B365" s="1" t="s">
        <v>7</v>
      </c>
      <c r="C365" s="1" t="s">
        <v>25</v>
      </c>
      <c r="D365" s="1" t="s">
        <v>9</v>
      </c>
      <c r="E365" s="1" t="s">
        <v>10</v>
      </c>
      <c r="F365" s="1" t="s">
        <v>11</v>
      </c>
      <c r="G365" s="1">
        <v>60</v>
      </c>
    </row>
    <row r="366" spans="1:7" x14ac:dyDescent="0.2">
      <c r="A366" s="1" t="s">
        <v>587</v>
      </c>
      <c r="B366" s="1" t="s">
        <v>28</v>
      </c>
      <c r="C366" s="1" t="s">
        <v>58</v>
      </c>
      <c r="D366" s="1" t="s">
        <v>63</v>
      </c>
      <c r="E366" s="1" t="s">
        <v>17</v>
      </c>
      <c r="F366" s="1" t="s">
        <v>11</v>
      </c>
      <c r="G366" s="1">
        <v>80</v>
      </c>
    </row>
    <row r="367" spans="1:7" x14ac:dyDescent="0.2">
      <c r="A367" s="1" t="s">
        <v>588</v>
      </c>
      <c r="B367" s="1" t="s">
        <v>14</v>
      </c>
      <c r="C367" s="1" t="s">
        <v>46</v>
      </c>
      <c r="D367" s="1" t="s">
        <v>89</v>
      </c>
      <c r="E367" s="1" t="s">
        <v>17</v>
      </c>
      <c r="F367" s="1" t="s">
        <v>11</v>
      </c>
      <c r="G367" s="1">
        <v>30</v>
      </c>
    </row>
    <row r="368" spans="1:7" x14ac:dyDescent="0.2">
      <c r="A368" s="1" t="s">
        <v>589</v>
      </c>
      <c r="B368" s="1" t="s">
        <v>7</v>
      </c>
      <c r="C368" s="1" t="s">
        <v>25</v>
      </c>
      <c r="D368" s="1" t="s">
        <v>109</v>
      </c>
      <c r="E368" s="1" t="s">
        <v>10</v>
      </c>
      <c r="F368" s="1" t="s">
        <v>27</v>
      </c>
      <c r="G368" s="1">
        <v>70</v>
      </c>
    </row>
    <row r="369" spans="1:7" x14ac:dyDescent="0.2">
      <c r="A369" s="1" t="s">
        <v>590</v>
      </c>
      <c r="B369" s="1" t="s">
        <v>37</v>
      </c>
      <c r="C369" s="1" t="s">
        <v>59</v>
      </c>
      <c r="D369" s="1" t="s">
        <v>76</v>
      </c>
      <c r="E369" s="1" t="s">
        <v>10</v>
      </c>
      <c r="F369" s="1" t="s">
        <v>19</v>
      </c>
      <c r="G369" s="1">
        <v>210</v>
      </c>
    </row>
    <row r="370" spans="1:7" x14ac:dyDescent="0.2">
      <c r="A370" s="1" t="s">
        <v>591</v>
      </c>
      <c r="B370" s="1" t="s">
        <v>14</v>
      </c>
      <c r="C370" s="1" t="s">
        <v>39</v>
      </c>
      <c r="D370" s="1" t="s">
        <v>110</v>
      </c>
      <c r="E370" s="1" t="s">
        <v>17</v>
      </c>
      <c r="F370" s="1" t="s">
        <v>24</v>
      </c>
      <c r="G370" s="1">
        <v>60</v>
      </c>
    </row>
    <row r="371" spans="1:7" x14ac:dyDescent="0.2">
      <c r="A371" s="1" t="s">
        <v>592</v>
      </c>
      <c r="B371" s="1" t="s">
        <v>28</v>
      </c>
      <c r="C371" s="1" t="s">
        <v>34</v>
      </c>
      <c r="D371" s="1" t="s">
        <v>30</v>
      </c>
      <c r="E371" s="1" t="s">
        <v>17</v>
      </c>
      <c r="F371" s="1" t="s">
        <v>24</v>
      </c>
      <c r="G371" s="1">
        <v>270</v>
      </c>
    </row>
    <row r="372" spans="1:7" x14ac:dyDescent="0.2">
      <c r="A372" s="1" t="s">
        <v>593</v>
      </c>
      <c r="B372" s="1" t="s">
        <v>7</v>
      </c>
      <c r="C372" s="1" t="s">
        <v>12</v>
      </c>
      <c r="D372" s="1" t="s">
        <v>51</v>
      </c>
      <c r="E372" s="1" t="s">
        <v>17</v>
      </c>
      <c r="F372" s="1" t="s">
        <v>24</v>
      </c>
      <c r="G372" s="1">
        <v>30</v>
      </c>
    </row>
    <row r="373" spans="1:7" x14ac:dyDescent="0.2">
      <c r="A373" s="1" t="s">
        <v>594</v>
      </c>
      <c r="B373" s="1" t="s">
        <v>41</v>
      </c>
      <c r="C373" s="1" t="s">
        <v>62</v>
      </c>
      <c r="D373" s="1" t="s">
        <v>111</v>
      </c>
      <c r="E373" s="1" t="s">
        <v>17</v>
      </c>
      <c r="F373" s="1" t="s">
        <v>11</v>
      </c>
      <c r="G373" s="1">
        <v>70</v>
      </c>
    </row>
    <row r="374" spans="1:7" x14ac:dyDescent="0.2">
      <c r="A374" s="1" t="s">
        <v>595</v>
      </c>
      <c r="B374" s="1" t="s">
        <v>41</v>
      </c>
      <c r="C374" s="1" t="s">
        <v>42</v>
      </c>
      <c r="D374" s="1" t="s">
        <v>33</v>
      </c>
      <c r="E374" s="1" t="s">
        <v>10</v>
      </c>
      <c r="F374" s="1" t="s">
        <v>19</v>
      </c>
      <c r="G374" s="1">
        <v>80</v>
      </c>
    </row>
    <row r="375" spans="1:7" x14ac:dyDescent="0.2">
      <c r="A375" s="1" t="s">
        <v>596</v>
      </c>
      <c r="B375" s="1" t="s">
        <v>14</v>
      </c>
      <c r="C375" s="1" t="s">
        <v>15</v>
      </c>
      <c r="D375" s="1" t="s">
        <v>52</v>
      </c>
      <c r="E375" s="1" t="s">
        <v>17</v>
      </c>
      <c r="F375" s="1" t="s">
        <v>11</v>
      </c>
      <c r="G375" s="1">
        <v>120</v>
      </c>
    </row>
    <row r="376" spans="1:7" x14ac:dyDescent="0.2">
      <c r="A376" s="1" t="s">
        <v>597</v>
      </c>
      <c r="B376" s="1" t="s">
        <v>14</v>
      </c>
      <c r="C376" s="1" t="s">
        <v>46</v>
      </c>
      <c r="D376" s="1" t="s">
        <v>18</v>
      </c>
      <c r="E376" s="1" t="s">
        <v>17</v>
      </c>
      <c r="F376" s="1" t="s">
        <v>19</v>
      </c>
      <c r="G376" s="1">
        <v>20</v>
      </c>
    </row>
    <row r="377" spans="1:7" x14ac:dyDescent="0.2">
      <c r="A377" s="1" t="s">
        <v>598</v>
      </c>
      <c r="B377" s="1" t="s">
        <v>41</v>
      </c>
      <c r="C377" s="1" t="s">
        <v>55</v>
      </c>
      <c r="D377" s="1" t="s">
        <v>21</v>
      </c>
      <c r="E377" s="1" t="s">
        <v>17</v>
      </c>
      <c r="F377" s="1" t="s">
        <v>22</v>
      </c>
      <c r="G377" s="1">
        <v>90</v>
      </c>
    </row>
    <row r="378" spans="1:7" x14ac:dyDescent="0.2">
      <c r="A378" s="1" t="s">
        <v>599</v>
      </c>
      <c r="B378" s="1" t="s">
        <v>37</v>
      </c>
      <c r="C378" s="1" t="s">
        <v>38</v>
      </c>
      <c r="D378" s="1" t="s">
        <v>30</v>
      </c>
      <c r="E378" s="1" t="s">
        <v>17</v>
      </c>
      <c r="F378" s="1" t="s">
        <v>24</v>
      </c>
      <c r="G378" s="1">
        <v>110</v>
      </c>
    </row>
    <row r="379" spans="1:7" x14ac:dyDescent="0.2">
      <c r="A379" s="1" t="s">
        <v>600</v>
      </c>
      <c r="B379" s="1" t="s">
        <v>96</v>
      </c>
      <c r="C379" s="1" t="s">
        <v>97</v>
      </c>
      <c r="D379" s="1" t="s">
        <v>112</v>
      </c>
      <c r="E379" s="1" t="s">
        <v>17</v>
      </c>
      <c r="F379" s="1" t="s">
        <v>11</v>
      </c>
      <c r="G379">
        <v>220</v>
      </c>
    </row>
    <row r="380" spans="1:7" x14ac:dyDescent="0.2">
      <c r="A380" s="1" t="s">
        <v>601</v>
      </c>
      <c r="B380" s="1" t="s">
        <v>41</v>
      </c>
      <c r="C380" s="1" t="s">
        <v>55</v>
      </c>
      <c r="D380" s="1" t="s">
        <v>108</v>
      </c>
      <c r="E380" s="1" t="s">
        <v>17</v>
      </c>
      <c r="F380" s="1" t="s">
        <v>27</v>
      </c>
      <c r="G380" s="1">
        <v>90</v>
      </c>
    </row>
    <row r="381" spans="1:7" x14ac:dyDescent="0.2">
      <c r="A381" s="1" t="s">
        <v>602</v>
      </c>
      <c r="B381" s="1" t="s">
        <v>28</v>
      </c>
      <c r="C381" s="1" t="s">
        <v>58</v>
      </c>
      <c r="D381" s="1" t="s">
        <v>40</v>
      </c>
      <c r="E381" s="1" t="s">
        <v>17</v>
      </c>
      <c r="F381" s="1" t="s">
        <v>27</v>
      </c>
      <c r="G381" s="1">
        <v>80</v>
      </c>
    </row>
    <row r="382" spans="1:7" x14ac:dyDescent="0.2">
      <c r="A382" s="1" t="s">
        <v>603</v>
      </c>
      <c r="B382" s="1" t="s">
        <v>7</v>
      </c>
      <c r="C382" s="1" t="s">
        <v>32</v>
      </c>
      <c r="D382" s="1" t="s">
        <v>67</v>
      </c>
      <c r="E382" s="1" t="s">
        <v>17</v>
      </c>
      <c r="F382" s="1" t="s">
        <v>19</v>
      </c>
      <c r="G382" s="1">
        <v>80</v>
      </c>
    </row>
    <row r="383" spans="1:7" x14ac:dyDescent="0.2">
      <c r="A383" s="1" t="s">
        <v>604</v>
      </c>
      <c r="B383" s="1" t="s">
        <v>28</v>
      </c>
      <c r="C383" s="1" t="s">
        <v>58</v>
      </c>
      <c r="D383" s="1" t="s">
        <v>103</v>
      </c>
      <c r="E383" s="1" t="s">
        <v>17</v>
      </c>
      <c r="F383" s="1" t="s">
        <v>19</v>
      </c>
      <c r="G383" s="1">
        <v>80</v>
      </c>
    </row>
    <row r="384" spans="1:7" x14ac:dyDescent="0.2">
      <c r="A384" s="1" t="s">
        <v>605</v>
      </c>
      <c r="B384" s="1" t="s">
        <v>41</v>
      </c>
      <c r="C384" s="1" t="s">
        <v>55</v>
      </c>
      <c r="D384" s="1" t="s">
        <v>113</v>
      </c>
      <c r="E384" s="1" t="s">
        <v>17</v>
      </c>
      <c r="F384" s="1" t="s">
        <v>19</v>
      </c>
      <c r="G384" s="1">
        <v>100</v>
      </c>
    </row>
    <row r="385" spans="1:7" x14ac:dyDescent="0.2">
      <c r="A385" s="1" t="s">
        <v>606</v>
      </c>
      <c r="B385" s="1" t="s">
        <v>37</v>
      </c>
      <c r="C385" s="1" t="s">
        <v>59</v>
      </c>
      <c r="D385" s="1" t="s">
        <v>44</v>
      </c>
      <c r="E385" s="1" t="s">
        <v>17</v>
      </c>
      <c r="F385" s="1" t="s">
        <v>24</v>
      </c>
      <c r="G385" s="1">
        <v>220</v>
      </c>
    </row>
    <row r="386" spans="1:7" x14ac:dyDescent="0.2">
      <c r="A386" s="1" t="s">
        <v>607</v>
      </c>
      <c r="B386" s="1" t="s">
        <v>7</v>
      </c>
      <c r="C386" s="1" t="s">
        <v>8</v>
      </c>
      <c r="D386" s="1" t="s">
        <v>60</v>
      </c>
      <c r="E386" s="1" t="s">
        <v>17</v>
      </c>
      <c r="F386" s="1" t="s">
        <v>11</v>
      </c>
      <c r="G386" s="1">
        <v>80</v>
      </c>
    </row>
    <row r="387" spans="1:7" x14ac:dyDescent="0.2">
      <c r="A387" s="1" t="s">
        <v>608</v>
      </c>
      <c r="B387" s="1" t="s">
        <v>41</v>
      </c>
      <c r="C387" s="1" t="s">
        <v>55</v>
      </c>
      <c r="D387" s="1" t="s">
        <v>18</v>
      </c>
      <c r="E387" s="1" t="s">
        <v>17</v>
      </c>
      <c r="F387" s="1" t="s">
        <v>19</v>
      </c>
      <c r="G387" s="1">
        <v>90</v>
      </c>
    </row>
    <row r="388" spans="1:7" x14ac:dyDescent="0.2">
      <c r="A388" s="1" t="s">
        <v>609</v>
      </c>
      <c r="B388" s="1" t="s">
        <v>37</v>
      </c>
      <c r="C388" s="1" t="s">
        <v>49</v>
      </c>
      <c r="D388" s="1" t="s">
        <v>45</v>
      </c>
      <c r="E388" s="1" t="s">
        <v>10</v>
      </c>
      <c r="F388" s="1" t="s">
        <v>11</v>
      </c>
      <c r="G388" s="1">
        <v>180</v>
      </c>
    </row>
    <row r="389" spans="1:7" x14ac:dyDescent="0.2">
      <c r="A389" s="1" t="s">
        <v>610</v>
      </c>
      <c r="B389" s="1" t="s">
        <v>28</v>
      </c>
      <c r="C389" s="1" t="s">
        <v>29</v>
      </c>
      <c r="D389" s="1" t="s">
        <v>40</v>
      </c>
      <c r="E389" s="1" t="s">
        <v>17</v>
      </c>
      <c r="F389" s="1" t="s">
        <v>27</v>
      </c>
      <c r="G389" s="1">
        <v>70</v>
      </c>
    </row>
    <row r="390" spans="1:7" x14ac:dyDescent="0.2">
      <c r="A390" s="1" t="s">
        <v>611</v>
      </c>
      <c r="B390" s="1" t="s">
        <v>41</v>
      </c>
      <c r="C390" s="1" t="s">
        <v>62</v>
      </c>
      <c r="D390" s="1" t="s">
        <v>69</v>
      </c>
      <c r="E390" s="1" t="s">
        <v>17</v>
      </c>
      <c r="F390" s="1" t="s">
        <v>11</v>
      </c>
      <c r="G390" s="1">
        <v>80</v>
      </c>
    </row>
    <row r="391" spans="1:7" x14ac:dyDescent="0.2">
      <c r="A391" s="1" t="s">
        <v>612</v>
      </c>
      <c r="B391" s="1" t="s">
        <v>28</v>
      </c>
      <c r="C391" s="1" t="s">
        <v>58</v>
      </c>
      <c r="D391" s="1" t="s">
        <v>81</v>
      </c>
      <c r="E391" s="1" t="s">
        <v>17</v>
      </c>
      <c r="F391" s="1" t="s">
        <v>27</v>
      </c>
      <c r="G391" s="1">
        <v>80</v>
      </c>
    </row>
    <row r="392" spans="1:7" x14ac:dyDescent="0.2">
      <c r="A392" s="1" t="s">
        <v>613</v>
      </c>
      <c r="B392" s="1" t="s">
        <v>14</v>
      </c>
      <c r="C392" s="1" t="s">
        <v>39</v>
      </c>
      <c r="D392" s="1" t="s">
        <v>13</v>
      </c>
      <c r="E392" s="1" t="s">
        <v>10</v>
      </c>
      <c r="F392" s="1" t="s">
        <v>11</v>
      </c>
      <c r="G392" s="1">
        <v>50</v>
      </c>
    </row>
    <row r="393" spans="1:7" x14ac:dyDescent="0.2">
      <c r="A393" s="1" t="s">
        <v>614</v>
      </c>
      <c r="B393" s="1" t="s">
        <v>41</v>
      </c>
      <c r="C393" s="1" t="s">
        <v>62</v>
      </c>
      <c r="D393" s="1" t="s">
        <v>36</v>
      </c>
      <c r="E393" s="1" t="s">
        <v>10</v>
      </c>
      <c r="F393" s="1" t="s">
        <v>19</v>
      </c>
      <c r="G393" s="1">
        <v>80</v>
      </c>
    </row>
    <row r="394" spans="1:7" x14ac:dyDescent="0.2">
      <c r="A394" s="1" t="s">
        <v>615</v>
      </c>
      <c r="B394" s="1" t="s">
        <v>28</v>
      </c>
      <c r="C394" s="1" t="s">
        <v>29</v>
      </c>
      <c r="D394" s="1" t="s">
        <v>85</v>
      </c>
      <c r="E394" s="1" t="s">
        <v>17</v>
      </c>
      <c r="F394" s="1" t="s">
        <v>24</v>
      </c>
      <c r="G394" s="1">
        <v>60</v>
      </c>
    </row>
    <row r="395" spans="1:7" x14ac:dyDescent="0.2">
      <c r="A395" s="1" t="s">
        <v>616</v>
      </c>
      <c r="B395" s="1" t="s">
        <v>7</v>
      </c>
      <c r="C395" s="1" t="s">
        <v>12</v>
      </c>
      <c r="D395" s="1" t="s">
        <v>33</v>
      </c>
      <c r="E395" s="1" t="s">
        <v>10</v>
      </c>
      <c r="F395" s="1" t="s">
        <v>19</v>
      </c>
      <c r="G395" s="1">
        <v>20</v>
      </c>
    </row>
    <row r="396" spans="1:7" x14ac:dyDescent="0.2">
      <c r="A396" s="1" t="s">
        <v>617</v>
      </c>
      <c r="B396" s="1" t="s">
        <v>7</v>
      </c>
      <c r="C396" s="1" t="s">
        <v>25</v>
      </c>
      <c r="D396" s="1" t="s">
        <v>18</v>
      </c>
      <c r="E396" s="1" t="s">
        <v>17</v>
      </c>
      <c r="F396" s="1" t="s">
        <v>19</v>
      </c>
      <c r="G396" s="1">
        <v>70</v>
      </c>
    </row>
    <row r="397" spans="1:7" x14ac:dyDescent="0.2">
      <c r="A397" s="1" t="s">
        <v>618</v>
      </c>
      <c r="B397" s="1" t="s">
        <v>41</v>
      </c>
      <c r="C397" s="1" t="s">
        <v>62</v>
      </c>
      <c r="D397" s="1" t="s">
        <v>114</v>
      </c>
      <c r="E397" s="1" t="s">
        <v>17</v>
      </c>
      <c r="F397" s="1" t="s">
        <v>19</v>
      </c>
      <c r="G397" s="1">
        <v>70</v>
      </c>
    </row>
    <row r="398" spans="1:7" x14ac:dyDescent="0.2">
      <c r="A398" s="1" t="s">
        <v>619</v>
      </c>
      <c r="B398" s="1" t="s">
        <v>41</v>
      </c>
      <c r="C398" s="1" t="s">
        <v>42</v>
      </c>
      <c r="D398" s="1" t="s">
        <v>83</v>
      </c>
      <c r="E398" s="1" t="s">
        <v>17</v>
      </c>
      <c r="F398" s="1" t="s">
        <v>65</v>
      </c>
      <c r="G398" s="1">
        <v>80</v>
      </c>
    </row>
    <row r="399" spans="1:7" x14ac:dyDescent="0.2">
      <c r="A399" s="1" t="s">
        <v>620</v>
      </c>
      <c r="B399" s="1" t="s">
        <v>37</v>
      </c>
      <c r="C399" s="1" t="s">
        <v>59</v>
      </c>
      <c r="D399" s="1" t="s">
        <v>67</v>
      </c>
      <c r="E399" s="1" t="s">
        <v>17</v>
      </c>
      <c r="F399" s="1" t="s">
        <v>19</v>
      </c>
      <c r="G399" s="1">
        <v>210</v>
      </c>
    </row>
    <row r="400" spans="1:7" x14ac:dyDescent="0.2">
      <c r="A400" s="1" t="s">
        <v>621</v>
      </c>
      <c r="B400" s="1" t="s">
        <v>14</v>
      </c>
      <c r="C400" s="1" t="s">
        <v>39</v>
      </c>
      <c r="D400" s="1" t="s">
        <v>36</v>
      </c>
      <c r="E400" s="1" t="s">
        <v>10</v>
      </c>
      <c r="F400" s="1" t="s">
        <v>19</v>
      </c>
      <c r="G400" s="1">
        <v>50</v>
      </c>
    </row>
    <row r="401" spans="1:7" x14ac:dyDescent="0.2">
      <c r="A401" s="1" t="s">
        <v>622</v>
      </c>
      <c r="B401" s="1" t="s">
        <v>96</v>
      </c>
      <c r="C401" s="1" t="s">
        <v>97</v>
      </c>
      <c r="D401" s="1" t="s">
        <v>115</v>
      </c>
      <c r="E401" s="1" t="s">
        <v>17</v>
      </c>
      <c r="F401" s="1" t="s">
        <v>19</v>
      </c>
      <c r="G401">
        <v>230</v>
      </c>
    </row>
    <row r="402" spans="1:7" x14ac:dyDescent="0.2">
      <c r="A402" s="1" t="s">
        <v>623</v>
      </c>
      <c r="B402" s="1" t="s">
        <v>79</v>
      </c>
      <c r="C402" s="1" t="s">
        <v>80</v>
      </c>
      <c r="D402" s="1" t="s">
        <v>71</v>
      </c>
      <c r="E402" s="1" t="s">
        <v>17</v>
      </c>
      <c r="F402" s="1" t="s">
        <v>11</v>
      </c>
      <c r="G402" s="1">
        <v>170</v>
      </c>
    </row>
    <row r="403" spans="1:7" x14ac:dyDescent="0.2">
      <c r="A403" s="1" t="s">
        <v>624</v>
      </c>
      <c r="B403" s="1" t="s">
        <v>7</v>
      </c>
      <c r="C403" s="1" t="s">
        <v>32</v>
      </c>
      <c r="D403" s="1" t="s">
        <v>74</v>
      </c>
      <c r="E403" s="1" t="s">
        <v>17</v>
      </c>
      <c r="F403" s="1" t="s">
        <v>11</v>
      </c>
      <c r="G403" s="1">
        <v>90</v>
      </c>
    </row>
    <row r="404" spans="1:7" x14ac:dyDescent="0.2">
      <c r="A404" s="1" t="s">
        <v>625</v>
      </c>
      <c r="B404" s="1" t="s">
        <v>7</v>
      </c>
      <c r="C404" s="1" t="s">
        <v>25</v>
      </c>
      <c r="D404" s="1" t="s">
        <v>63</v>
      </c>
      <c r="E404" s="1" t="s">
        <v>17</v>
      </c>
      <c r="F404" s="1" t="s">
        <v>11</v>
      </c>
      <c r="G404" s="1">
        <v>70</v>
      </c>
    </row>
    <row r="405" spans="1:7" x14ac:dyDescent="0.2">
      <c r="A405" s="1" t="s">
        <v>626</v>
      </c>
      <c r="B405" s="1" t="s">
        <v>41</v>
      </c>
      <c r="C405" s="1" t="s">
        <v>62</v>
      </c>
      <c r="D405" s="1" t="s">
        <v>44</v>
      </c>
      <c r="E405" s="1" t="s">
        <v>17</v>
      </c>
      <c r="F405" s="1" t="s">
        <v>24</v>
      </c>
      <c r="G405" s="1">
        <v>80</v>
      </c>
    </row>
    <row r="406" spans="1:7" x14ac:dyDescent="0.2">
      <c r="A406" s="1" t="s">
        <v>627</v>
      </c>
      <c r="B406" s="1" t="s">
        <v>28</v>
      </c>
      <c r="C406" s="1" t="s">
        <v>29</v>
      </c>
      <c r="D406" s="1" t="s">
        <v>33</v>
      </c>
      <c r="E406" s="1" t="s">
        <v>10</v>
      </c>
      <c r="F406" s="1" t="s">
        <v>19</v>
      </c>
      <c r="G406" s="1">
        <v>60</v>
      </c>
    </row>
    <row r="407" spans="1:7" x14ac:dyDescent="0.2">
      <c r="A407" s="1" t="s">
        <v>628</v>
      </c>
      <c r="B407" s="1" t="s">
        <v>14</v>
      </c>
      <c r="C407" s="1" t="s">
        <v>20</v>
      </c>
      <c r="D407" s="1" t="s">
        <v>103</v>
      </c>
      <c r="E407" s="1" t="s">
        <v>17</v>
      </c>
      <c r="F407" s="1" t="s">
        <v>19</v>
      </c>
      <c r="G407" s="1">
        <v>60</v>
      </c>
    </row>
    <row r="408" spans="1:7" x14ac:dyDescent="0.2">
      <c r="A408" s="1" t="s">
        <v>629</v>
      </c>
      <c r="B408" s="1" t="s">
        <v>14</v>
      </c>
      <c r="C408" s="1" t="s">
        <v>39</v>
      </c>
      <c r="D408" s="1" t="s">
        <v>45</v>
      </c>
      <c r="E408" s="1" t="s">
        <v>10</v>
      </c>
      <c r="F408" s="1" t="s">
        <v>11</v>
      </c>
      <c r="G408" s="1">
        <v>50</v>
      </c>
    </row>
    <row r="409" spans="1:7" x14ac:dyDescent="0.2">
      <c r="A409" s="1" t="s">
        <v>630</v>
      </c>
      <c r="B409" s="1" t="s">
        <v>7</v>
      </c>
      <c r="C409" s="1" t="s">
        <v>32</v>
      </c>
      <c r="D409" s="1" t="s">
        <v>47</v>
      </c>
      <c r="E409" s="1" t="s">
        <v>17</v>
      </c>
      <c r="F409" s="1" t="s">
        <v>48</v>
      </c>
      <c r="G409" s="1">
        <v>80</v>
      </c>
    </row>
    <row r="410" spans="1:7" x14ac:dyDescent="0.2">
      <c r="A410" s="1" t="s">
        <v>631</v>
      </c>
      <c r="B410" s="1" t="s">
        <v>14</v>
      </c>
      <c r="C410" s="1" t="s">
        <v>46</v>
      </c>
      <c r="D410" s="1" t="s">
        <v>53</v>
      </c>
      <c r="E410" s="1" t="s">
        <v>10</v>
      </c>
      <c r="F410" s="1" t="s">
        <v>19</v>
      </c>
      <c r="G410" s="1">
        <v>20</v>
      </c>
    </row>
    <row r="411" spans="1:7" x14ac:dyDescent="0.2">
      <c r="A411" s="1" t="s">
        <v>632</v>
      </c>
      <c r="B411" s="1" t="s">
        <v>14</v>
      </c>
      <c r="C411" s="1" t="s">
        <v>39</v>
      </c>
      <c r="D411" s="1" t="s">
        <v>90</v>
      </c>
      <c r="E411" s="1" t="s">
        <v>10</v>
      </c>
      <c r="F411" s="1" t="s">
        <v>22</v>
      </c>
      <c r="G411" s="1">
        <v>60</v>
      </c>
    </row>
    <row r="412" spans="1:7" x14ac:dyDescent="0.2">
      <c r="A412" s="1" t="s">
        <v>633</v>
      </c>
      <c r="B412" s="1" t="s">
        <v>7</v>
      </c>
      <c r="C412" s="1" t="s">
        <v>32</v>
      </c>
      <c r="D412" s="1" t="s">
        <v>30</v>
      </c>
      <c r="E412" s="1" t="s">
        <v>17</v>
      </c>
      <c r="F412" s="1" t="s">
        <v>24</v>
      </c>
      <c r="G412" s="1">
        <v>90</v>
      </c>
    </row>
    <row r="413" spans="1:7" x14ac:dyDescent="0.2">
      <c r="A413" s="1" t="s">
        <v>634</v>
      </c>
      <c r="B413" s="1" t="s">
        <v>28</v>
      </c>
      <c r="C413" s="1" t="s">
        <v>29</v>
      </c>
      <c r="D413" s="1" t="s">
        <v>13</v>
      </c>
      <c r="E413" s="1" t="s">
        <v>10</v>
      </c>
      <c r="F413" s="1" t="s">
        <v>11</v>
      </c>
      <c r="G413" s="1">
        <v>60</v>
      </c>
    </row>
    <row r="414" spans="1:7" x14ac:dyDescent="0.2">
      <c r="A414" s="1" t="s">
        <v>635</v>
      </c>
      <c r="B414" s="1" t="s">
        <v>7</v>
      </c>
      <c r="C414" s="1" t="s">
        <v>8</v>
      </c>
      <c r="D414" s="1" t="s">
        <v>13</v>
      </c>
      <c r="E414" s="1" t="s">
        <v>10</v>
      </c>
      <c r="F414" s="1" t="s">
        <v>11</v>
      </c>
      <c r="G414" s="1">
        <v>90</v>
      </c>
    </row>
    <row r="415" spans="1:7" x14ac:dyDescent="0.2">
      <c r="A415" s="1" t="s">
        <v>636</v>
      </c>
      <c r="B415" s="1" t="s">
        <v>37</v>
      </c>
      <c r="C415" s="1" t="s">
        <v>49</v>
      </c>
      <c r="D415" s="1" t="s">
        <v>69</v>
      </c>
      <c r="E415" s="1" t="s">
        <v>17</v>
      </c>
      <c r="F415" s="1" t="s">
        <v>11</v>
      </c>
      <c r="G415" s="1">
        <v>190</v>
      </c>
    </row>
    <row r="416" spans="1:7" x14ac:dyDescent="0.2">
      <c r="A416" s="1" t="s">
        <v>637</v>
      </c>
      <c r="B416" s="1" t="s">
        <v>41</v>
      </c>
      <c r="C416" s="1" t="s">
        <v>42</v>
      </c>
      <c r="D416" s="1" t="s">
        <v>85</v>
      </c>
      <c r="E416" s="1" t="s">
        <v>17</v>
      </c>
      <c r="F416" s="1" t="s">
        <v>24</v>
      </c>
      <c r="G416" s="1">
        <v>70</v>
      </c>
    </row>
    <row r="417" spans="1:7" x14ac:dyDescent="0.2">
      <c r="A417" s="1" t="s">
        <v>638</v>
      </c>
      <c r="B417" s="1" t="s">
        <v>7</v>
      </c>
      <c r="C417" s="1" t="s">
        <v>12</v>
      </c>
      <c r="D417" s="1" t="s">
        <v>26</v>
      </c>
      <c r="E417" s="1" t="s">
        <v>10</v>
      </c>
      <c r="F417" s="1" t="s">
        <v>27</v>
      </c>
      <c r="G417" s="1">
        <v>20</v>
      </c>
    </row>
    <row r="418" spans="1:7" x14ac:dyDescent="0.2">
      <c r="A418" s="1" t="s">
        <v>639</v>
      </c>
      <c r="B418" s="1" t="s">
        <v>7</v>
      </c>
      <c r="C418" s="1" t="s">
        <v>12</v>
      </c>
      <c r="D418" s="1" t="s">
        <v>45</v>
      </c>
      <c r="E418" s="1" t="s">
        <v>10</v>
      </c>
      <c r="F418" s="1" t="s">
        <v>11</v>
      </c>
      <c r="G418" s="1">
        <v>30</v>
      </c>
    </row>
    <row r="419" spans="1:7" x14ac:dyDescent="0.2">
      <c r="A419" s="1" t="s">
        <v>640</v>
      </c>
      <c r="B419" s="1" t="s">
        <v>79</v>
      </c>
      <c r="C419" s="1" t="s">
        <v>80</v>
      </c>
      <c r="D419" s="1" t="s">
        <v>35</v>
      </c>
      <c r="E419" s="1" t="s">
        <v>10</v>
      </c>
      <c r="F419" s="1" t="s">
        <v>27</v>
      </c>
      <c r="G419" s="1">
        <v>95</v>
      </c>
    </row>
    <row r="420" spans="1:7" x14ac:dyDescent="0.2">
      <c r="A420" s="1" t="s">
        <v>641</v>
      </c>
      <c r="B420" s="1" t="s">
        <v>14</v>
      </c>
      <c r="C420" s="1" t="s">
        <v>39</v>
      </c>
      <c r="D420" s="1" t="s">
        <v>69</v>
      </c>
      <c r="E420" s="1" t="s">
        <v>17</v>
      </c>
      <c r="F420" s="1" t="s">
        <v>11</v>
      </c>
      <c r="G420" s="1">
        <v>60</v>
      </c>
    </row>
    <row r="421" spans="1:7" x14ac:dyDescent="0.2">
      <c r="A421" s="1" t="s">
        <v>642</v>
      </c>
      <c r="B421" s="1" t="s">
        <v>28</v>
      </c>
      <c r="C421" s="1" t="s">
        <v>34</v>
      </c>
      <c r="D421" s="1" t="s">
        <v>81</v>
      </c>
      <c r="E421" s="1" t="s">
        <v>17</v>
      </c>
      <c r="F421" s="1" t="s">
        <v>27</v>
      </c>
      <c r="G421" s="1">
        <v>70</v>
      </c>
    </row>
    <row r="422" spans="1:7" x14ac:dyDescent="0.2">
      <c r="A422" s="1" t="s">
        <v>643</v>
      </c>
      <c r="B422" s="1" t="s">
        <v>37</v>
      </c>
      <c r="C422" s="1" t="s">
        <v>59</v>
      </c>
      <c r="D422" s="1" t="s">
        <v>103</v>
      </c>
      <c r="E422" s="1" t="s">
        <v>17</v>
      </c>
      <c r="F422" s="1" t="s">
        <v>19</v>
      </c>
      <c r="G422" s="1">
        <v>210</v>
      </c>
    </row>
    <row r="423" spans="1:7" x14ac:dyDescent="0.2">
      <c r="A423" s="1" t="s">
        <v>644</v>
      </c>
      <c r="B423" s="1" t="s">
        <v>14</v>
      </c>
      <c r="C423" s="1" t="s">
        <v>39</v>
      </c>
      <c r="D423" s="1" t="s">
        <v>50</v>
      </c>
      <c r="E423" s="1" t="s">
        <v>17</v>
      </c>
      <c r="F423" s="1" t="s">
        <v>22</v>
      </c>
      <c r="G423" s="1">
        <v>50</v>
      </c>
    </row>
    <row r="424" spans="1:7" x14ac:dyDescent="0.2">
      <c r="A424" s="1" t="s">
        <v>645</v>
      </c>
      <c r="B424" s="1" t="s">
        <v>37</v>
      </c>
      <c r="C424" s="1" t="s">
        <v>59</v>
      </c>
      <c r="D424" s="1" t="s">
        <v>16</v>
      </c>
      <c r="E424" s="1" t="s">
        <v>17</v>
      </c>
      <c r="F424" s="1" t="s">
        <v>11</v>
      </c>
      <c r="G424" s="1">
        <v>220</v>
      </c>
    </row>
    <row r="425" spans="1:7" x14ac:dyDescent="0.2">
      <c r="A425" s="1" t="s">
        <v>646</v>
      </c>
      <c r="B425" s="1" t="s">
        <v>37</v>
      </c>
      <c r="C425" s="1" t="s">
        <v>59</v>
      </c>
      <c r="D425" s="1" t="s">
        <v>47</v>
      </c>
      <c r="E425" s="1" t="s">
        <v>17</v>
      </c>
      <c r="F425" s="1" t="s">
        <v>48</v>
      </c>
      <c r="G425" s="1">
        <v>220</v>
      </c>
    </row>
    <row r="426" spans="1:7" x14ac:dyDescent="0.2">
      <c r="A426" s="1" t="s">
        <v>647</v>
      </c>
      <c r="B426" s="1" t="s">
        <v>28</v>
      </c>
      <c r="C426" s="1" t="s">
        <v>29</v>
      </c>
      <c r="D426" s="1" t="s">
        <v>16</v>
      </c>
      <c r="E426" s="1" t="s">
        <v>17</v>
      </c>
      <c r="F426" s="1" t="s">
        <v>11</v>
      </c>
      <c r="G426" s="1">
        <v>60</v>
      </c>
    </row>
    <row r="427" spans="1:7" x14ac:dyDescent="0.2">
      <c r="A427" s="1" t="s">
        <v>648</v>
      </c>
      <c r="B427" s="1" t="s">
        <v>41</v>
      </c>
      <c r="C427" s="1" t="s">
        <v>42</v>
      </c>
      <c r="D427" s="1" t="s">
        <v>87</v>
      </c>
      <c r="E427" s="1" t="s">
        <v>17</v>
      </c>
      <c r="F427" s="1" t="s">
        <v>27</v>
      </c>
      <c r="G427" s="1">
        <v>80</v>
      </c>
    </row>
    <row r="428" spans="1:7" x14ac:dyDescent="0.2">
      <c r="A428" s="1" t="s">
        <v>649</v>
      </c>
      <c r="B428" s="1" t="s">
        <v>79</v>
      </c>
      <c r="C428" s="1" t="s">
        <v>80</v>
      </c>
      <c r="D428" s="1" t="s">
        <v>9</v>
      </c>
      <c r="E428" s="1" t="s">
        <v>10</v>
      </c>
      <c r="F428" s="1" t="s">
        <v>11</v>
      </c>
      <c r="G428" s="1">
        <v>230</v>
      </c>
    </row>
    <row r="429" spans="1:7" x14ac:dyDescent="0.2">
      <c r="A429" s="1" t="s">
        <v>650</v>
      </c>
      <c r="B429" s="1" t="s">
        <v>7</v>
      </c>
      <c r="C429" s="1" t="s">
        <v>32</v>
      </c>
      <c r="D429" s="1" t="s">
        <v>16</v>
      </c>
      <c r="E429" s="1" t="s">
        <v>17</v>
      </c>
      <c r="F429" s="1" t="s">
        <v>11</v>
      </c>
      <c r="G429" s="1">
        <v>90</v>
      </c>
    </row>
    <row r="430" spans="1:7" x14ac:dyDescent="0.2">
      <c r="A430" s="1" t="s">
        <v>651</v>
      </c>
      <c r="B430" s="1" t="s">
        <v>28</v>
      </c>
      <c r="C430" s="1" t="s">
        <v>58</v>
      </c>
      <c r="D430" s="1" t="s">
        <v>85</v>
      </c>
      <c r="E430" s="1" t="s">
        <v>17</v>
      </c>
      <c r="F430" s="1" t="s">
        <v>24</v>
      </c>
      <c r="G430" s="1">
        <v>80</v>
      </c>
    </row>
    <row r="431" spans="1:7" x14ac:dyDescent="0.2">
      <c r="A431" s="1" t="s">
        <v>652</v>
      </c>
      <c r="B431" s="1" t="s">
        <v>79</v>
      </c>
      <c r="C431" s="1" t="s">
        <v>80</v>
      </c>
      <c r="D431" s="1" t="s">
        <v>63</v>
      </c>
      <c r="E431" s="1" t="s">
        <v>17</v>
      </c>
      <c r="F431" s="1" t="s">
        <v>11</v>
      </c>
      <c r="G431" s="1">
        <v>170</v>
      </c>
    </row>
    <row r="432" spans="1:7" x14ac:dyDescent="0.2">
      <c r="A432" s="1" t="s">
        <v>653</v>
      </c>
      <c r="B432" s="1" t="s">
        <v>41</v>
      </c>
      <c r="C432" s="1" t="s">
        <v>62</v>
      </c>
      <c r="D432" s="1" t="s">
        <v>40</v>
      </c>
      <c r="E432" s="1" t="s">
        <v>17</v>
      </c>
      <c r="F432" s="1" t="s">
        <v>27</v>
      </c>
      <c r="G432" s="1">
        <v>80</v>
      </c>
    </row>
    <row r="433" spans="1:7" x14ac:dyDescent="0.2">
      <c r="A433" s="1" t="s">
        <v>654</v>
      </c>
      <c r="B433" s="1" t="s">
        <v>7</v>
      </c>
      <c r="C433" s="1" t="s">
        <v>8</v>
      </c>
      <c r="D433" s="1" t="s">
        <v>50</v>
      </c>
      <c r="E433" s="1" t="s">
        <v>17</v>
      </c>
      <c r="F433" s="1" t="s">
        <v>22</v>
      </c>
      <c r="G433" s="1">
        <v>80</v>
      </c>
    </row>
    <row r="434" spans="1:7" x14ac:dyDescent="0.2">
      <c r="A434" s="1" t="s">
        <v>655</v>
      </c>
      <c r="B434" s="1" t="s">
        <v>37</v>
      </c>
      <c r="C434" s="1" t="s">
        <v>49</v>
      </c>
      <c r="D434" s="1" t="s">
        <v>31</v>
      </c>
      <c r="E434" s="1" t="s">
        <v>10</v>
      </c>
      <c r="F434" s="1" t="s">
        <v>27</v>
      </c>
      <c r="G434" s="1">
        <v>180</v>
      </c>
    </row>
    <row r="435" spans="1:7" x14ac:dyDescent="0.2">
      <c r="A435" s="1" t="s">
        <v>656</v>
      </c>
      <c r="B435" s="1" t="s">
        <v>7</v>
      </c>
      <c r="C435" s="1" t="s">
        <v>32</v>
      </c>
      <c r="D435" s="1" t="s">
        <v>18</v>
      </c>
      <c r="E435" s="1" t="s">
        <v>17</v>
      </c>
      <c r="F435" s="1" t="s">
        <v>19</v>
      </c>
      <c r="G435" s="1">
        <v>90</v>
      </c>
    </row>
    <row r="436" spans="1:7" x14ac:dyDescent="0.2">
      <c r="A436" s="1" t="s">
        <v>657</v>
      </c>
      <c r="B436" s="1" t="s">
        <v>37</v>
      </c>
      <c r="C436" s="1" t="s">
        <v>59</v>
      </c>
      <c r="D436" s="1" t="s">
        <v>18</v>
      </c>
      <c r="E436" s="1" t="s">
        <v>17</v>
      </c>
      <c r="F436" s="1" t="s">
        <v>19</v>
      </c>
      <c r="G436" s="1">
        <v>210</v>
      </c>
    </row>
    <row r="437" spans="1:7" x14ac:dyDescent="0.2">
      <c r="A437" s="1" t="s">
        <v>658</v>
      </c>
      <c r="B437" s="1" t="s">
        <v>7</v>
      </c>
      <c r="C437" s="1" t="s">
        <v>32</v>
      </c>
      <c r="D437" s="1" t="s">
        <v>44</v>
      </c>
      <c r="E437" s="1" t="s">
        <v>17</v>
      </c>
      <c r="F437" s="1" t="s">
        <v>24</v>
      </c>
      <c r="G437" s="1">
        <v>80</v>
      </c>
    </row>
    <row r="438" spans="1:7" x14ac:dyDescent="0.2">
      <c r="A438" s="1" t="s">
        <v>659</v>
      </c>
      <c r="B438" s="1" t="s">
        <v>41</v>
      </c>
      <c r="C438" s="1" t="s">
        <v>70</v>
      </c>
      <c r="D438" s="1" t="s">
        <v>53</v>
      </c>
      <c r="E438" s="1" t="s">
        <v>10</v>
      </c>
      <c r="F438" s="1" t="s">
        <v>19</v>
      </c>
      <c r="G438" s="1">
        <v>220</v>
      </c>
    </row>
    <row r="439" spans="1:7" x14ac:dyDescent="0.2">
      <c r="A439" s="1" t="s">
        <v>660</v>
      </c>
      <c r="B439" s="1" t="s">
        <v>41</v>
      </c>
      <c r="C439" s="1" t="s">
        <v>55</v>
      </c>
      <c r="D439" s="1" t="s">
        <v>9</v>
      </c>
      <c r="E439" s="1" t="s">
        <v>10</v>
      </c>
      <c r="F439" s="1" t="s">
        <v>11</v>
      </c>
      <c r="G439" s="1">
        <v>100</v>
      </c>
    </row>
    <row r="440" spans="1:7" x14ac:dyDescent="0.2">
      <c r="A440" s="1" t="s">
        <v>661</v>
      </c>
      <c r="B440" s="1" t="s">
        <v>7</v>
      </c>
      <c r="C440" s="1" t="s">
        <v>32</v>
      </c>
      <c r="D440" s="1" t="s">
        <v>13</v>
      </c>
      <c r="E440" s="1" t="s">
        <v>10</v>
      </c>
      <c r="F440" s="1" t="s">
        <v>11</v>
      </c>
      <c r="G440" s="1">
        <v>90</v>
      </c>
    </row>
    <row r="441" spans="1:7" x14ac:dyDescent="0.2">
      <c r="A441" s="1" t="s">
        <v>662</v>
      </c>
      <c r="B441" s="1" t="s">
        <v>14</v>
      </c>
      <c r="C441" s="1" t="s">
        <v>39</v>
      </c>
      <c r="D441" s="1" t="s">
        <v>21</v>
      </c>
      <c r="E441" s="1" t="s">
        <v>17</v>
      </c>
      <c r="F441" s="1" t="s">
        <v>22</v>
      </c>
      <c r="G441" s="1">
        <v>60</v>
      </c>
    </row>
    <row r="442" spans="1:7" x14ac:dyDescent="0.2">
      <c r="A442" s="1" t="s">
        <v>663</v>
      </c>
      <c r="B442" s="1" t="s">
        <v>79</v>
      </c>
      <c r="C442" s="1" t="s">
        <v>80</v>
      </c>
      <c r="D442" s="1" t="s">
        <v>69</v>
      </c>
      <c r="E442" s="1" t="s">
        <v>17</v>
      </c>
      <c r="F442" s="1" t="s">
        <v>11</v>
      </c>
      <c r="G442" s="1">
        <v>160</v>
      </c>
    </row>
  </sheetData>
  <sortState ref="A2:G442">
    <sortCondition ref="A7"/>
  </sortState>
  <dataConsolidate/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B2:Y57"/>
  <sheetViews>
    <sheetView workbookViewId="0">
      <selection activeCell="E24" sqref="E24"/>
    </sheetView>
  </sheetViews>
  <sheetFormatPr defaultRowHeight="12" x14ac:dyDescent="0.2"/>
  <cols>
    <col min="1" max="1" width="9.33203125" customWidth="1"/>
    <col min="10" max="10" width="19.83203125" customWidth="1"/>
    <col min="11" max="11" width="11.83203125" customWidth="1"/>
  </cols>
  <sheetData>
    <row r="2" spans="2:25" x14ac:dyDescent="0.2">
      <c r="B2" s="39" t="s">
        <v>668</v>
      </c>
    </row>
    <row r="3" spans="2:25" x14ac:dyDescent="0.2">
      <c r="B3" s="39" t="s">
        <v>669</v>
      </c>
      <c r="J3" s="22" t="s">
        <v>4</v>
      </c>
      <c r="K3" s="23" t="s">
        <v>17</v>
      </c>
    </row>
    <row r="4" spans="2:25" x14ac:dyDescent="0.2">
      <c r="B4" s="40" t="s">
        <v>670</v>
      </c>
    </row>
    <row r="5" spans="2:25" x14ac:dyDescent="0.2">
      <c r="B5" s="39" t="s">
        <v>671</v>
      </c>
      <c r="J5" s="33" t="s">
        <v>3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2:25" x14ac:dyDescent="0.2">
      <c r="B6" s="39" t="s">
        <v>672</v>
      </c>
      <c r="J6" s="32" t="s">
        <v>103</v>
      </c>
    </row>
    <row r="7" spans="2:25" x14ac:dyDescent="0.2">
      <c r="B7" s="40" t="s">
        <v>673</v>
      </c>
      <c r="J7" s="34" t="s">
        <v>111</v>
      </c>
    </row>
    <row r="8" spans="2:25" x14ac:dyDescent="0.2">
      <c r="B8" s="39" t="s">
        <v>674</v>
      </c>
      <c r="J8" s="34" t="s">
        <v>30</v>
      </c>
    </row>
    <row r="9" spans="2:25" x14ac:dyDescent="0.2">
      <c r="J9" s="34" t="s">
        <v>98</v>
      </c>
    </row>
    <row r="10" spans="2:25" x14ac:dyDescent="0.2">
      <c r="B10" s="39" t="s">
        <v>675</v>
      </c>
      <c r="J10" s="34" t="s">
        <v>44</v>
      </c>
    </row>
    <row r="11" spans="2:25" x14ac:dyDescent="0.2">
      <c r="B11" s="39" t="s">
        <v>676</v>
      </c>
      <c r="J11" s="34" t="s">
        <v>99</v>
      </c>
    </row>
    <row r="12" spans="2:25" x14ac:dyDescent="0.2">
      <c r="B12" s="39" t="s">
        <v>677</v>
      </c>
      <c r="J12" s="34" t="s">
        <v>95</v>
      </c>
    </row>
    <row r="13" spans="2:25" x14ac:dyDescent="0.2">
      <c r="J13" s="34" t="s">
        <v>74</v>
      </c>
    </row>
    <row r="14" spans="2:25" x14ac:dyDescent="0.2">
      <c r="J14" s="34" t="s">
        <v>89</v>
      </c>
    </row>
    <row r="15" spans="2:25" x14ac:dyDescent="0.2">
      <c r="J15" s="34" t="s">
        <v>93</v>
      </c>
    </row>
    <row r="16" spans="2:25" x14ac:dyDescent="0.2">
      <c r="J16" s="34" t="s">
        <v>106</v>
      </c>
    </row>
    <row r="17" spans="10:10" x14ac:dyDescent="0.2">
      <c r="J17" s="34" t="s">
        <v>105</v>
      </c>
    </row>
    <row r="18" spans="10:10" x14ac:dyDescent="0.2">
      <c r="J18" s="34" t="s">
        <v>47</v>
      </c>
    </row>
    <row r="19" spans="10:10" x14ac:dyDescent="0.2">
      <c r="J19" s="34" t="s">
        <v>92</v>
      </c>
    </row>
    <row r="20" spans="10:10" x14ac:dyDescent="0.2">
      <c r="J20" s="34" t="s">
        <v>68</v>
      </c>
    </row>
    <row r="21" spans="10:10" x14ac:dyDescent="0.2">
      <c r="J21" s="34" t="s">
        <v>73</v>
      </c>
    </row>
    <row r="22" spans="10:10" x14ac:dyDescent="0.2">
      <c r="J22" s="34" t="s">
        <v>54</v>
      </c>
    </row>
    <row r="23" spans="10:10" x14ac:dyDescent="0.2">
      <c r="J23" s="34" t="s">
        <v>114</v>
      </c>
    </row>
    <row r="24" spans="10:10" x14ac:dyDescent="0.2">
      <c r="J24" s="34" t="s">
        <v>101</v>
      </c>
    </row>
    <row r="25" spans="10:10" x14ac:dyDescent="0.2">
      <c r="J25" s="34" t="s">
        <v>71</v>
      </c>
    </row>
    <row r="26" spans="10:10" x14ac:dyDescent="0.2">
      <c r="J26" s="34" t="s">
        <v>115</v>
      </c>
    </row>
    <row r="27" spans="10:10" x14ac:dyDescent="0.2">
      <c r="J27" s="34" t="s">
        <v>87</v>
      </c>
    </row>
    <row r="28" spans="10:10" x14ac:dyDescent="0.2">
      <c r="J28" s="34" t="s">
        <v>81</v>
      </c>
    </row>
    <row r="29" spans="10:10" x14ac:dyDescent="0.2">
      <c r="J29" s="34" t="s">
        <v>16</v>
      </c>
    </row>
    <row r="30" spans="10:10" x14ac:dyDescent="0.2">
      <c r="J30" s="34" t="s">
        <v>102</v>
      </c>
    </row>
    <row r="31" spans="10:10" x14ac:dyDescent="0.2">
      <c r="J31" s="34" t="s">
        <v>83</v>
      </c>
    </row>
    <row r="32" spans="10:10" x14ac:dyDescent="0.2">
      <c r="J32" s="34" t="s">
        <v>40</v>
      </c>
    </row>
    <row r="33" spans="10:10" x14ac:dyDescent="0.2">
      <c r="J33" s="34" t="s">
        <v>82</v>
      </c>
    </row>
    <row r="34" spans="10:10" x14ac:dyDescent="0.2">
      <c r="J34" s="34" t="s">
        <v>50</v>
      </c>
    </row>
    <row r="35" spans="10:10" x14ac:dyDescent="0.2">
      <c r="J35" s="34" t="s">
        <v>69</v>
      </c>
    </row>
    <row r="36" spans="10:10" x14ac:dyDescent="0.2">
      <c r="J36" s="34" t="s">
        <v>108</v>
      </c>
    </row>
    <row r="37" spans="10:10" x14ac:dyDescent="0.2">
      <c r="J37" s="34" t="s">
        <v>18</v>
      </c>
    </row>
    <row r="38" spans="10:10" x14ac:dyDescent="0.2">
      <c r="J38" s="34" t="s">
        <v>85</v>
      </c>
    </row>
    <row r="39" spans="10:10" x14ac:dyDescent="0.2">
      <c r="J39" s="34" t="s">
        <v>91</v>
      </c>
    </row>
    <row r="40" spans="10:10" x14ac:dyDescent="0.2">
      <c r="J40" s="34" t="s">
        <v>67</v>
      </c>
    </row>
    <row r="41" spans="10:10" x14ac:dyDescent="0.2">
      <c r="J41" s="34" t="s">
        <v>60</v>
      </c>
    </row>
    <row r="42" spans="10:10" x14ac:dyDescent="0.2">
      <c r="J42" s="34" t="s">
        <v>113</v>
      </c>
    </row>
    <row r="43" spans="10:10" x14ac:dyDescent="0.2">
      <c r="J43" s="34" t="s">
        <v>107</v>
      </c>
    </row>
    <row r="44" spans="10:10" x14ac:dyDescent="0.2">
      <c r="J44" s="34" t="s">
        <v>23</v>
      </c>
    </row>
    <row r="45" spans="10:10" x14ac:dyDescent="0.2">
      <c r="J45" s="34" t="s">
        <v>63</v>
      </c>
    </row>
    <row r="46" spans="10:10" x14ac:dyDescent="0.2">
      <c r="J46" s="34" t="s">
        <v>61</v>
      </c>
    </row>
    <row r="47" spans="10:10" x14ac:dyDescent="0.2">
      <c r="J47" s="34" t="s">
        <v>110</v>
      </c>
    </row>
    <row r="48" spans="10:10" x14ac:dyDescent="0.2">
      <c r="J48" s="34" t="s">
        <v>100</v>
      </c>
    </row>
    <row r="49" spans="10:10" x14ac:dyDescent="0.2">
      <c r="J49" s="34" t="s">
        <v>104</v>
      </c>
    </row>
    <row r="50" spans="10:10" x14ac:dyDescent="0.2">
      <c r="J50" s="34" t="s">
        <v>56</v>
      </c>
    </row>
    <row r="51" spans="10:10" x14ac:dyDescent="0.2">
      <c r="J51" s="34" t="s">
        <v>64</v>
      </c>
    </row>
    <row r="52" spans="10:10" x14ac:dyDescent="0.2">
      <c r="J52" s="34" t="s">
        <v>51</v>
      </c>
    </row>
    <row r="53" spans="10:10" x14ac:dyDescent="0.2">
      <c r="J53" s="34" t="s">
        <v>21</v>
      </c>
    </row>
    <row r="54" spans="10:10" x14ac:dyDescent="0.2">
      <c r="J54" s="34" t="s">
        <v>112</v>
      </c>
    </row>
    <row r="55" spans="10:10" x14ac:dyDescent="0.2">
      <c r="J55" s="34" t="s">
        <v>88</v>
      </c>
    </row>
    <row r="56" spans="10:10" x14ac:dyDescent="0.2">
      <c r="J56" s="34" t="s">
        <v>78</v>
      </c>
    </row>
    <row r="57" spans="10:10" x14ac:dyDescent="0.2">
      <c r="J57" s="35" t="s">
        <v>52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7"/>
  <sheetViews>
    <sheetView workbookViewId="0">
      <selection activeCell="G19" sqref="G19"/>
    </sheetView>
  </sheetViews>
  <sheetFormatPr defaultRowHeight="12" x14ac:dyDescent="0.2"/>
  <sheetData>
    <row r="2" spans="2:2" x14ac:dyDescent="0.2">
      <c r="B2" s="39" t="s">
        <v>678</v>
      </c>
    </row>
    <row r="3" spans="2:2" x14ac:dyDescent="0.2">
      <c r="B3" s="39" t="s">
        <v>679</v>
      </c>
    </row>
    <row r="4" spans="2:2" x14ac:dyDescent="0.2">
      <c r="B4" s="39" t="s">
        <v>680</v>
      </c>
    </row>
    <row r="5" spans="2:2" x14ac:dyDescent="0.2">
      <c r="B5" s="39" t="s">
        <v>681</v>
      </c>
    </row>
    <row r="6" spans="2:2" x14ac:dyDescent="0.2">
      <c r="B6" s="39" t="s">
        <v>682</v>
      </c>
    </row>
    <row r="7" spans="2:2" x14ac:dyDescent="0.2">
      <c r="B7" s="39" t="s">
        <v>683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javítások adatai</vt:lpstr>
      <vt:lpstr>feladatok P</vt:lpstr>
      <vt:lpstr>ültetvények</vt:lpstr>
      <vt:lpstr>feladatok Q</vt:lpstr>
      <vt:lpstr>feladatok 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2021-01-26T07:19:58Z</dcterms:created>
  <dcterms:modified xsi:type="dcterms:W3CDTF">2021-01-26T07:20:11Z</dcterms:modified>
</cp:coreProperties>
</file>